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0" windowWidth="11340" windowHeight="6540" tabRatio="598" activeTab="0"/>
  </bookViews>
  <sheets>
    <sheet name="листопад" sheetId="1" r:id="rId1"/>
    <sheet name="жовтень" sheetId="2" r:id="rId2"/>
    <sheet name="вересень" sheetId="3" r:id="rId3"/>
    <sheet name="серпень" sheetId="4" r:id="rId4"/>
    <sheet name="липень" sheetId="5" r:id="rId5"/>
    <sheet name="червень" sheetId="6" r:id="rId6"/>
    <sheet name="травень" sheetId="7" r:id="rId7"/>
    <sheet name="квітень" sheetId="8" r:id="rId8"/>
    <sheet name="березень" sheetId="9" r:id="rId9"/>
    <sheet name="лютий" sheetId="10" r:id="rId10"/>
    <sheet name="січень 17" sheetId="11" r:id="rId11"/>
    <sheet name="грудень" sheetId="12" r:id="rId12"/>
  </sheets>
  <externalReferences>
    <externalReference r:id="rId15"/>
  </externalReferences>
  <definedNames>
    <definedName name="_xlnm.Print_Titles" localSheetId="2">'вересень'!$3:$6</definedName>
    <definedName name="_xlnm.Print_Titles" localSheetId="1">'жовтень'!$3:$5</definedName>
  </definedNames>
  <calcPr fullCalcOnLoad="1"/>
</workbook>
</file>

<file path=xl/sharedStrings.xml><?xml version="1.0" encoding="utf-8"?>
<sst xmlns="http://schemas.openxmlformats.org/spreadsheetml/2006/main" count="1929" uniqueCount="281">
  <si>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</si>
  <si>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</si>
  <si>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</si>
  <si>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</si>
  <si>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</si>
  <si>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</si>
  <si>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</si>
  <si>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</si>
  <si>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</si>
  <si>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</si>
  <si>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</si>
  <si>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Податок на прибуток підприємств і організацій, що належать до комунальної власності</t>
  </si>
  <si>
    <t>Неподаткові надходження</t>
  </si>
  <si>
    <t>Інші надходження</t>
  </si>
  <si>
    <t xml:space="preserve">Плата за оренду цілісних майнових комплексів та іншого майна </t>
  </si>
  <si>
    <t>Державне мито</t>
  </si>
  <si>
    <t>Адмінстративні штрафи та інші санкції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</si>
  <si>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</si>
  <si>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</si>
  <si>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</si>
  <si>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</si>
  <si>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</si>
  <si>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</si>
  <si>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</si>
  <si>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</si>
  <si>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</si>
  <si>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Виконання з початку року</t>
  </si>
  <si>
    <t>ЗАГАЛЬНИЙ ФОНД</t>
  </si>
  <si>
    <t>Разом доходів загального фонду</t>
  </si>
  <si>
    <t>Надходження від відчуження майна, що знаходиться у комунальній власності</t>
  </si>
  <si>
    <t>Надходження від продажу землі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</si>
  <si>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</si>
  <si>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</si>
  <si>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</si>
  <si>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</si>
  <si>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</si>
  <si>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</si>
  <si>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</si>
  <si>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</si>
  <si>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</si>
  <si>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</si>
  <si>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</si>
  <si>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</si>
  <si>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</si>
  <si>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</si>
  <si>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</si>
  <si>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Екологічний податок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</si>
  <si>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</si>
  <si>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</si>
  <si>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</si>
  <si>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Збір за забруднення навколишнього природного середовища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</si>
  <si>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</si>
  <si>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 xml:space="preserve">Інші надходження </t>
  </si>
  <si>
    <t xml:space="preserve">    - для забезпечення виконання плану по доходах загального фонду щоденно необхідно отримувати </t>
  </si>
  <si>
    <t>Надходження коштів пайової участі у розвитку інфраструктури населеного пункту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</si>
  <si>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</si>
  <si>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</si>
  <si>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</si>
  <si>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</si>
  <si>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</si>
  <si>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</si>
  <si>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</si>
  <si>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</si>
  <si>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</si>
  <si>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</si>
  <si>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в т.ч. авансові внески по податку на прибуток</t>
  </si>
  <si>
    <t>11</t>
  </si>
  <si>
    <t>12</t>
  </si>
  <si>
    <t>13</t>
  </si>
  <si>
    <t>14</t>
  </si>
  <si>
    <t>15</t>
  </si>
  <si>
    <t>16</t>
  </si>
  <si>
    <t>Акцизний податок з реалізації суб`єктами господарювання роздрібної торгівлі підакцизних товарів</t>
  </si>
  <si>
    <t xml:space="preserve">Місцеві податки </t>
  </si>
  <si>
    <t xml:space="preserve">податок на нерухоме майно </t>
  </si>
  <si>
    <t>транспортний податок</t>
  </si>
  <si>
    <t>плата за землю</t>
  </si>
  <si>
    <t>Плата за розміщення  тимчасово вільних коштів місцевих бюджетів</t>
  </si>
  <si>
    <t>Плата за надання інших адміністративних послуг</t>
  </si>
  <si>
    <t>Податок та збір на доходи фізичних осіб</t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</si>
  <si>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</si>
  <si>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</si>
  <si>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</si>
  <si>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</si>
  <si>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</si>
  <si>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</si>
  <si>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</si>
  <si>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</si>
  <si>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</si>
  <si>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</si>
  <si>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</si>
  <si>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</si>
  <si>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</si>
  <si>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</si>
  <si>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</si>
  <si>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</si>
  <si>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</si>
  <si>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</si>
  <si>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</si>
  <si>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Адміністративний збір за державну реєстрацію речових прав на нерухоме майно та їх обтяжень</t>
  </si>
  <si>
    <t>Податок з власників транспортних засобів та інших самохідних машин і механізмів</t>
  </si>
  <si>
    <t xml:space="preserve">Плата за гарантії, надані  міськими радами </t>
  </si>
  <si>
    <t>Динаміка  фактичних надходжень лютий 2016 та 2015 років</t>
  </si>
  <si>
    <t>Відхилення (+,-) до  плану на 2016 рік</t>
  </si>
  <si>
    <t>% виконання  плану на 2016 рік</t>
  </si>
  <si>
    <t>Адміністративний збір за проведення державної реєстрації юридичних осіб та фізичних осіб - підпр</t>
  </si>
  <si>
    <t>Плата за скорочення термінів надання послуг у сфері державної реєстрації речових прав на нерухоме майно</t>
  </si>
  <si>
    <t xml:space="preserve">             </t>
  </si>
  <si>
    <r>
      <t>СПЕЦІАЛЬНИЙ ФОНД</t>
    </r>
    <r>
      <rPr>
        <sz val="10"/>
        <rFont val="Times New Roman"/>
        <family val="1"/>
      </rPr>
      <t xml:space="preserve"> (БЕЗ ВЛАСНИХ НАДХОДЖЕНЬ)</t>
    </r>
  </si>
  <si>
    <t>житлове</t>
  </si>
  <si>
    <t>нежитлове</t>
  </si>
  <si>
    <t>податок</t>
  </si>
  <si>
    <t>оренда</t>
  </si>
  <si>
    <t xml:space="preserve"> + -</t>
  </si>
  <si>
    <t>факт 2015</t>
  </si>
  <si>
    <t xml:space="preserve"> - Збір за місця для паркування</t>
  </si>
  <si>
    <r>
      <t>Рентна плата за спеціальне використання</t>
    </r>
    <r>
      <rPr>
        <u val="single"/>
        <sz val="12"/>
        <rFont val="Times New Roman"/>
        <family val="1"/>
      </rPr>
      <t xml:space="preserve"> лісових</t>
    </r>
    <r>
      <rPr>
        <sz val="12"/>
        <rFont val="Times New Roman"/>
        <family val="1"/>
      </rPr>
      <t xml:space="preserve"> ресурсів</t>
    </r>
  </si>
  <si>
    <r>
      <t xml:space="preserve">Рентна плата за користування </t>
    </r>
    <r>
      <rPr>
        <u val="single"/>
        <sz val="12"/>
        <rFont val="Times New Roman"/>
        <family val="1"/>
      </rPr>
      <t>надрами</t>
    </r>
    <r>
      <rPr>
        <sz val="12"/>
        <rFont val="Times New Roman"/>
        <family val="1"/>
      </rPr>
      <t xml:space="preserve"> для видобування корисних копалин місцевого значення</t>
    </r>
  </si>
  <si>
    <t>Виконано у листопаді</t>
  </si>
  <si>
    <t>податки, що контролюються ДПІ</t>
  </si>
  <si>
    <t>податки, що не контролюються ДПІ</t>
  </si>
  <si>
    <t>ВСЬОГО</t>
  </si>
  <si>
    <t>% виконання  плану на січень-грудень 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</si>
  <si>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грудень</t>
    </r>
    <r>
      <rPr>
        <b/>
        <sz val="11"/>
        <rFont val="Times New Roman"/>
        <family val="1"/>
      </rPr>
      <t xml:space="preserve"> місяць  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</si>
  <si>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30.11.16 </t>
    </r>
    <r>
      <rPr>
        <b/>
        <sz val="10"/>
        <rFont val="Times New Roman"/>
        <family val="1"/>
      </rPr>
      <t>включно</t>
    </r>
  </si>
  <si>
    <t>Виконано у грудні</t>
  </si>
  <si>
    <r>
      <rPr>
        <b/>
        <sz val="11"/>
        <color indexed="10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 2016 рік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</si>
  <si>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січень-грудень</t>
    </r>
  </si>
  <si>
    <t>Відхилення (+,-) до  плану на січень-грудень2016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</si>
  <si>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грудень</t>
    </r>
    <r>
      <rPr>
        <b/>
        <sz val="11"/>
        <rFont val="Times New Roman"/>
        <family val="1"/>
      </rPr>
      <t xml:space="preserve">  місяць  </t>
    </r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</si>
  <si>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січень-грудень</t>
    </r>
    <r>
      <rPr>
        <b/>
        <sz val="10"/>
        <rFont val="Times New Roman"/>
        <family val="1"/>
      </rPr>
      <t xml:space="preserve"> 2016 та 2015 років</t>
    </r>
  </si>
  <si>
    <t>адмінпослуги (3) з травня 2016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</si>
  <si>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01.01.2017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</si>
  <si>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30.12.16 </t>
    </r>
    <r>
      <rPr>
        <b/>
        <sz val="10"/>
        <rFont val="Times New Roman"/>
        <family val="1"/>
      </rPr>
      <t>включно</t>
    </r>
  </si>
  <si>
    <r>
      <rPr>
        <b/>
        <sz val="11"/>
        <color indexed="10"/>
        <rFont val="Times New Roman"/>
        <family val="1"/>
      </rPr>
      <t>Затверджений</t>
    </r>
    <r>
      <rPr>
        <b/>
        <sz val="11"/>
        <rFont val="Times New Roman"/>
        <family val="1"/>
      </rPr>
      <t xml:space="preserve"> план на 2017 рік</t>
    </r>
  </si>
  <si>
    <r>
      <rPr>
        <b/>
        <u val="single"/>
        <sz val="11"/>
        <rFont val="Times New Roman"/>
        <family val="1"/>
      </rPr>
      <t>Затверджений</t>
    </r>
    <r>
      <rPr>
        <b/>
        <sz val="11"/>
        <rFont val="Times New Roman"/>
        <family val="1"/>
      </rPr>
      <t xml:space="preserve"> план  на січень-</t>
    </r>
  </si>
  <si>
    <t>Відхилення (+,-) до  плану на січень- 2017 року</t>
  </si>
  <si>
    <t>% виконання  плану на січень- 2017 року</t>
  </si>
  <si>
    <t>Відхилення (+,-) до  плану на 2017 рік</t>
  </si>
  <si>
    <t>% виконання  плану на 2017 рік</t>
  </si>
  <si>
    <t>тис.грн</t>
  </si>
  <si>
    <t>факт 2016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</si>
  <si>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</t>
    </r>
    <r>
      <rPr>
        <b/>
        <sz val="10"/>
        <rFont val="Times New Roman"/>
        <family val="1"/>
      </rPr>
      <t xml:space="preserve"> 2017 та 2016 років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</si>
  <si>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01.02.2017</t>
    </r>
    <r>
      <rPr>
        <b/>
        <sz val="16"/>
        <rFont val="Times New Roman"/>
        <family val="1"/>
      </rPr>
      <t>р.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</si>
  <si>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місяць  </t>
    </r>
  </si>
  <si>
    <t>Відхилення (+,-) до  плану на січень-лютий 2017 року</t>
  </si>
  <si>
    <t>% виконання  плану на січень-лютий 2017 року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</si>
  <si>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січень-лютий</t>
    </r>
    <r>
      <rPr>
        <b/>
        <sz val="10"/>
        <rFont val="Times New Roman"/>
        <family val="1"/>
      </rPr>
      <t xml:space="preserve"> 2017 та 2016 років</t>
    </r>
  </si>
  <si>
    <t>Виконано у лютому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</si>
  <si>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січень-лютий</t>
    </r>
  </si>
  <si>
    <r>
      <rPr>
        <b/>
        <sz val="11"/>
        <color indexed="10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 2017 рік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</si>
  <si>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</si>
  <si>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28.02.17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</si>
  <si>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січень-березень</t>
    </r>
  </si>
  <si>
    <t>Від органів державного управління  </t>
  </si>
  <si>
    <t>Субвенції  </t>
  </si>
  <si>
    <t>Інші субвенції </t>
  </si>
  <si>
    <t>Власні надходження бюджетних установ</t>
  </si>
  <si>
    <t>Всього доходи з офіційними трансфертами</t>
  </si>
  <si>
    <r>
      <t xml:space="preserve">Субвенція з державного бюджету місцевим бюджетам на надання пільг та житлових </t>
    </r>
    <r>
      <rPr>
        <b/>
        <sz val="10"/>
        <rFont val="Arial Cyr"/>
        <family val="0"/>
      </rPr>
      <t>субсидій</t>
    </r>
    <r>
      <rPr>
        <sz val="10"/>
        <rFont val="Arial Cyr"/>
        <family val="0"/>
      </rPr>
      <t xml:space="preserve">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</t>
    </r>
  </si>
  <si>
    <r>
      <rPr>
        <b/>
        <sz val="10"/>
        <rFont val="Arial Cyr"/>
        <family val="0"/>
      </rPr>
      <t>Освітня</t>
    </r>
    <r>
      <rPr>
        <sz val="10"/>
        <rFont val="Arial Cyr"/>
        <family val="0"/>
      </rPr>
      <t xml:space="preserve"> субвенція з державного бюджету місцевим бюджетам</t>
    </r>
  </si>
  <si>
    <r>
      <rPr>
        <b/>
        <sz val="10"/>
        <rFont val="Arial Cyr"/>
        <family val="0"/>
      </rPr>
      <t>Медична</t>
    </r>
    <r>
      <rPr>
        <sz val="10"/>
        <rFont val="Arial Cyr"/>
        <family val="0"/>
      </rPr>
      <t xml:space="preserve"> субвенція з державного бюджету місцевим бюджетам</t>
    </r>
  </si>
  <si>
    <t>Відхилення (+,-) до  плану на січень-березень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</si>
  <si>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березень</t>
    </r>
    <r>
      <rPr>
        <b/>
        <sz val="11"/>
        <rFont val="Times New Roman"/>
        <family val="1"/>
      </rPr>
      <t xml:space="preserve"> місяць  </t>
    </r>
  </si>
  <si>
    <t>Виконано у березні</t>
  </si>
  <si>
    <t>зф</t>
  </si>
  <si>
    <t>сф</t>
  </si>
  <si>
    <t>ДПІ</t>
  </si>
  <si>
    <t xml:space="preserve"> +-ДПІ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</si>
  <si>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січень-березень</t>
    </r>
    <r>
      <rPr>
        <b/>
        <sz val="10"/>
        <rFont val="Times New Roman"/>
        <family val="1"/>
      </rPr>
      <t xml:space="preserve"> 2017 та 2016 років</t>
    </r>
  </si>
  <si>
    <r>
      <t>Акцизний податок (</t>
    </r>
    <r>
      <rPr>
        <b/>
        <i/>
        <sz val="12"/>
        <rFont val="Times New Roman"/>
        <family val="1"/>
      </rPr>
      <t>пальне вироблене</t>
    </r>
    <r>
      <rPr>
        <i/>
        <sz val="12"/>
        <rFont val="Times New Roman"/>
        <family val="1"/>
      </rPr>
      <t>)</t>
    </r>
  </si>
  <si>
    <r>
      <t>Акцизний податок (</t>
    </r>
    <r>
      <rPr>
        <b/>
        <i/>
        <sz val="12"/>
        <rFont val="Times New Roman"/>
        <family val="1"/>
      </rPr>
      <t>пальне ввезене</t>
    </r>
    <r>
      <rPr>
        <i/>
        <sz val="12"/>
        <rFont val="Times New Roman"/>
        <family val="1"/>
      </rPr>
      <t>)</t>
    </r>
  </si>
  <si>
    <t>АКЦИЗНИЙ ПОДАТОК  всього   , в т.ч.</t>
  </si>
  <si>
    <t>березень</t>
  </si>
  <si>
    <t>очікувані</t>
  </si>
  <si>
    <t>січень-березень</t>
  </si>
  <si>
    <t>% виконання  плану на січень-березень 2017 року</t>
  </si>
  <si>
    <r>
      <t>Субвенція з державного бюджету місцевим бюджетам на виплату допомоги</t>
    </r>
    <r>
      <rPr>
        <b/>
        <sz val="10"/>
        <rFont val="Arial Cyr"/>
        <family val="0"/>
      </rPr>
      <t xml:space="preserve"> сім`ям з дітьми</t>
    </r>
    <r>
      <rPr>
        <sz val="10"/>
        <rFont val="Arial Cyr"/>
        <family val="0"/>
      </rPr>
      <t>, малозабезпеченим сім`ям, інвалідам з дитинства, дітям-інвалідам, тимчасової державної допомоги дітям та допомоги по догляду за інвалідами I чи II групи внаслідок психічн</t>
    </r>
  </si>
  <si>
    <r>
      <t>Субвенція з державного бюджету місцевим бюджетам на надання пільг та житлових субсидій населенню на придбання</t>
    </r>
    <r>
      <rPr>
        <b/>
        <sz val="10"/>
        <rFont val="Arial Cyr"/>
        <family val="0"/>
      </rPr>
      <t xml:space="preserve"> твердого</t>
    </r>
    <r>
      <rPr>
        <sz val="10"/>
        <rFont val="Arial Cyr"/>
        <family val="0"/>
      </rPr>
      <t xml:space="preserve"> та рідкого пічного побутового палива і скрапленого газу </t>
    </r>
  </si>
  <si>
    <r>
      <t xml:space="preserve">Субвенція з державного бюджету місцевим бюджетам на виплату державної соціальної допомоги на </t>
    </r>
    <r>
      <rPr>
        <b/>
        <sz val="10"/>
        <rFont val="Arial Cyr"/>
        <family val="0"/>
      </rPr>
      <t>дітей-сиріт</t>
    </r>
    <r>
      <rPr>
        <sz val="10"/>
        <rFont val="Arial Cyr"/>
        <family val="0"/>
      </rPr>
      <t xml:space="preserve">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t>
    </r>
  </si>
  <si>
    <r>
      <t xml:space="preserve">Субвенція з державного бюджету місцевим бюджетам на надання державної підтримки особам з </t>
    </r>
    <r>
      <rPr>
        <b/>
        <sz val="10"/>
        <rFont val="Arial Cyr"/>
        <family val="0"/>
      </rPr>
      <t>особливими освітніми потребами</t>
    </r>
  </si>
  <si>
    <t>Всього доходів (без трансфертів)</t>
  </si>
  <si>
    <r>
      <t>Всього доходів</t>
    </r>
    <r>
      <rPr>
        <b/>
        <sz val="8"/>
        <rFont val="Times New Roman"/>
        <family val="1"/>
      </rPr>
      <t xml:space="preserve">  ЗФ+СФ (без власних та трансфертів)</t>
    </r>
  </si>
  <si>
    <t>Офіційні трансферти  ЗФ</t>
  </si>
  <si>
    <r>
      <t>Разом доходів загального фонду</t>
    </r>
    <r>
      <rPr>
        <b/>
        <sz val="8"/>
        <rFont val="Times New Roman"/>
        <family val="1"/>
      </rPr>
      <t xml:space="preserve"> (без трансфертів)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</si>
  <si>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01.04.2017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</si>
  <si>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31.03.17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</si>
  <si>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січень-квітень</t>
    </r>
  </si>
  <si>
    <t>Відхилення (+,-) до  плану на січень-квітень 2017 року</t>
  </si>
  <si>
    <t>% виконання  плану на січень-квітень 2017 року</t>
  </si>
  <si>
    <t>Виконано у квітні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</si>
  <si>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квітень</t>
    </r>
    <r>
      <rPr>
        <b/>
        <sz val="11"/>
        <rFont val="Times New Roman"/>
        <family val="1"/>
      </rPr>
      <t xml:space="preserve"> місяць  </t>
    </r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</si>
  <si>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січень-квітень</t>
    </r>
    <r>
      <rPr>
        <b/>
        <sz val="10"/>
        <rFont val="Times New Roman"/>
        <family val="1"/>
      </rPr>
      <t xml:space="preserve"> 2017 та 2016 років</t>
    </r>
  </si>
  <si>
    <t>Очікувані ДПІ+ДФП квітень 2017</t>
  </si>
  <si>
    <t>Очікувані ДПІ+ДФП січень- квітень 2017</t>
  </si>
  <si>
    <t>ЦНАП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</si>
  <si>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01.05.2017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</si>
  <si>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28.04.17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</si>
  <si>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січень-травень</t>
    </r>
  </si>
  <si>
    <t>Відхилення (+,-) до  плану на січень-травень 2017 року</t>
  </si>
  <si>
    <t>% виконання  плану на січень-травень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</si>
  <si>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травень</t>
    </r>
    <r>
      <rPr>
        <b/>
        <sz val="11"/>
        <rFont val="Times New Roman"/>
        <family val="1"/>
      </rPr>
      <t xml:space="preserve"> місяць  </t>
    </r>
  </si>
  <si>
    <t>Виконано у травні</t>
  </si>
  <si>
    <t>Очікувані ДПІ+ДФП травень 2017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</si>
  <si>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січень-травень</t>
    </r>
    <r>
      <rPr>
        <b/>
        <sz val="10"/>
        <rFont val="Times New Roman"/>
        <family val="1"/>
      </rPr>
      <t xml:space="preserve"> 2017 та 2016 років</t>
    </r>
  </si>
  <si>
    <r>
      <t xml:space="preserve">Акцизний податок </t>
    </r>
    <r>
      <rPr>
        <b/>
        <i/>
        <sz val="12"/>
        <rFont val="Times New Roman"/>
        <family val="1"/>
      </rPr>
      <t>з реалізаці</t>
    </r>
    <r>
      <rPr>
        <i/>
        <sz val="12"/>
        <rFont val="Times New Roman"/>
        <family val="1"/>
      </rPr>
      <t xml:space="preserve">ї суб`єктами господарювання роздрібної торгівлі підакцизних товарів </t>
    </r>
    <r>
      <rPr>
        <b/>
        <i/>
        <sz val="12"/>
        <rFont val="Times New Roman"/>
        <family val="1"/>
      </rPr>
      <t xml:space="preserve">(алкоголь+тютюн), </t>
    </r>
    <r>
      <rPr>
        <b/>
        <i/>
        <sz val="12"/>
        <color indexed="10"/>
        <rFont val="Times New Roman"/>
        <family val="1"/>
      </rPr>
      <t>в 2016р. зараховувалось і пальне</t>
    </r>
  </si>
  <si>
    <t>Плата за ліцензії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</si>
  <si>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01.06.2017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</si>
  <si>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31.05.17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</si>
  <si>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січень-червень</t>
    </r>
  </si>
  <si>
    <t>Відхилення (+,-) до  плану на січень-червень 2017 року</t>
  </si>
  <si>
    <t>% виконання  плану на січень-червень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</si>
  <si>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червень</t>
    </r>
    <r>
      <rPr>
        <b/>
        <sz val="11"/>
        <rFont val="Times New Roman"/>
        <family val="1"/>
      </rPr>
      <t xml:space="preserve"> місяць  </t>
    </r>
  </si>
  <si>
    <t>Виконано у червні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</si>
  <si>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січень-червень</t>
    </r>
    <r>
      <rPr>
        <b/>
        <sz val="10"/>
        <rFont val="Times New Roman"/>
        <family val="1"/>
      </rPr>
      <t xml:space="preserve"> 2017 та 2016 років</t>
    </r>
  </si>
  <si>
    <t>Очікувані ДПІ+ДФП червень 2017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</si>
  <si>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01.07.2017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</si>
  <si>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30.06.17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</si>
  <si>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липень</t>
    </r>
    <r>
      <rPr>
        <b/>
        <sz val="11"/>
        <rFont val="Times New Roman"/>
        <family val="1"/>
      </rPr>
      <t xml:space="preserve"> місяць  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</si>
  <si>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січень-липень</t>
    </r>
  </si>
  <si>
    <t>Виконано у липні</t>
  </si>
  <si>
    <t>Відхилення (+,-) до  плану на січень-липень 2017 року</t>
  </si>
  <si>
    <t>% виконання  плану на січень-липень 2017 року</t>
  </si>
  <si>
    <t>Плата за сертифікати</t>
  </si>
  <si>
    <t>Плата за ліцензії та сертифікати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</si>
  <si>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січень-липень</t>
    </r>
    <r>
      <rPr>
        <b/>
        <sz val="10"/>
        <rFont val="Times New Roman"/>
        <family val="1"/>
      </rPr>
      <t xml:space="preserve"> 2017 та 2016 років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</si>
  <si>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31.07.17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</si>
  <si>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січень-серпень </t>
    </r>
  </si>
  <si>
    <t>Відхилення (+,-) до  плану на січень-серпень 2017 року</t>
  </si>
  <si>
    <t>% виконання  плану на січень-серпень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</si>
  <si>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серпень</t>
    </r>
    <r>
      <rPr>
        <b/>
        <sz val="11"/>
        <rFont val="Times New Roman"/>
        <family val="1"/>
      </rPr>
      <t xml:space="preserve"> місяць  </t>
    </r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</si>
  <si>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січень-серпень</t>
    </r>
    <r>
      <rPr>
        <b/>
        <sz val="10"/>
        <rFont val="Times New Roman"/>
        <family val="1"/>
      </rPr>
      <t xml:space="preserve"> 2017 та 2016 років</t>
    </r>
  </si>
  <si>
    <r>
      <t>Аналіз виконання доходної частини бюджету м. Черкаси станом на</t>
    </r>
    <r>
      <rPr>
        <b/>
        <sz val="22"/>
        <rFont val="Times New Roman"/>
        <family val="1"/>
      </rPr>
      <t xml:space="preserve"> 01.08.2017</t>
    </r>
    <r>
      <rPr>
        <b/>
        <sz val="16"/>
        <rFont val="Times New Roman"/>
        <family val="1"/>
      </rPr>
      <t>р.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</si>
  <si>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01.09.2017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</si>
  <si>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31.08.17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</si>
  <si>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>Виконано у серпні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</si>
  <si>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січень-вересень </t>
    </r>
  </si>
  <si>
    <t>Відхилення (+,-) до  плану на січень-вересень 2017 року</t>
  </si>
  <si>
    <t>% виконання  плану на січень-вересень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</si>
  <si>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вересень</t>
    </r>
    <r>
      <rPr>
        <b/>
        <sz val="11"/>
        <rFont val="Times New Roman"/>
        <family val="1"/>
      </rPr>
      <t xml:space="preserve"> місяць  </t>
    </r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</si>
  <si>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січень-вересень</t>
    </r>
    <r>
      <rPr>
        <b/>
        <sz val="10"/>
        <rFont val="Times New Roman"/>
        <family val="1"/>
      </rPr>
      <t xml:space="preserve"> 2017 та 2016 років</t>
    </r>
  </si>
  <si>
    <t>Виконано у вересні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</si>
  <si>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01.10.2017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</si>
  <si>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29.09.17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</si>
  <si>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жовтень</t>
    </r>
    <r>
      <rPr>
        <b/>
        <sz val="11"/>
        <rFont val="Times New Roman"/>
        <family val="1"/>
      </rPr>
      <t xml:space="preserve"> місяць  </t>
    </r>
  </si>
  <si>
    <t>рік</t>
  </si>
  <si>
    <t>очікувані 2017</t>
  </si>
  <si>
    <t xml:space="preserve">Динаміка  очікуваних та затверджених надходжень  2017р. </t>
  </si>
  <si>
    <t>Динаміка  запланованих надходжень  2017р. та фактичних 2016 р.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</si>
  <si>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січень-жовтень </t>
    </r>
  </si>
  <si>
    <t>Відхилення (+,-) до  плану на січень-жовтень 2017 року</t>
  </si>
  <si>
    <t>% виконання  плану на січень-жовтень 2017 року</t>
  </si>
  <si>
    <t>Виконано у жовтні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</si>
  <si>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січень-жовтень</t>
    </r>
    <r>
      <rPr>
        <b/>
        <sz val="10"/>
        <rFont val="Times New Roman"/>
        <family val="1"/>
      </rPr>
      <t xml:space="preserve"> 2017 та 2016 років</t>
    </r>
  </si>
  <si>
    <t>інші  податки і збори</t>
  </si>
  <si>
    <t>плата за надання адмінпослуг (220100)</t>
  </si>
  <si>
    <t>інші надходження (240603)</t>
  </si>
  <si>
    <t>ДПІ ЗФ</t>
  </si>
  <si>
    <t>ДПІ СФ</t>
  </si>
  <si>
    <t>ДПІ ЗФ+СФ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</si>
  <si>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01.11.2017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</si>
  <si>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31.10.17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</si>
  <si>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січень-листопад</t>
    </r>
  </si>
  <si>
    <t>Відхилення (+,-) до  плану на січень-листопад 2017 року</t>
  </si>
  <si>
    <t>% виконання  плану на січень-листопад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</si>
  <si>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листопад</t>
    </r>
    <r>
      <rPr>
        <b/>
        <sz val="11"/>
        <rFont val="Times New Roman"/>
        <family val="1"/>
      </rPr>
      <t xml:space="preserve"> місяць  </t>
    </r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</si>
  <si>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січень-листопад</t>
    </r>
    <r>
      <rPr>
        <b/>
        <sz val="10"/>
        <rFont val="Times New Roman"/>
        <family val="1"/>
      </rPr>
      <t xml:space="preserve"> 2017 та 2016 років</t>
    </r>
  </si>
  <si>
    <r>
      <t>житл</t>
    </r>
    <r>
      <rPr>
        <i/>
        <sz val="14"/>
        <color indexed="30"/>
        <rFont val="Times New Roman"/>
        <family val="1"/>
      </rPr>
      <t xml:space="preserve"> </t>
    </r>
    <r>
      <rPr>
        <b/>
        <i/>
        <sz val="14"/>
        <rFont val="Times New Roman"/>
        <family val="1"/>
      </rPr>
      <t>фіз</t>
    </r>
  </si>
  <si>
    <r>
      <t xml:space="preserve">нежитл </t>
    </r>
    <r>
      <rPr>
        <b/>
        <i/>
        <sz val="14"/>
        <rFont val="Times New Roman"/>
        <family val="1"/>
      </rPr>
      <t>фіз</t>
    </r>
  </si>
  <si>
    <r>
      <t xml:space="preserve">житл </t>
    </r>
    <r>
      <rPr>
        <b/>
        <i/>
        <sz val="14"/>
        <color indexed="10"/>
        <rFont val="Times New Roman"/>
        <family val="1"/>
      </rPr>
      <t>юр</t>
    </r>
  </si>
  <si>
    <r>
      <t xml:space="preserve">нежитл </t>
    </r>
    <r>
      <rPr>
        <b/>
        <i/>
        <sz val="14"/>
        <color indexed="10"/>
        <rFont val="Times New Roman"/>
        <family val="1"/>
      </rPr>
      <t>юр</t>
    </r>
  </si>
  <si>
    <r>
      <t xml:space="preserve">тр </t>
    </r>
    <r>
      <rPr>
        <b/>
        <i/>
        <sz val="12"/>
        <rFont val="Times New Roman"/>
        <family val="1"/>
      </rPr>
      <t>фіз</t>
    </r>
  </si>
  <si>
    <r>
      <t xml:space="preserve">тр </t>
    </r>
    <r>
      <rPr>
        <b/>
        <i/>
        <sz val="12"/>
        <color indexed="10"/>
        <rFont val="Times New Roman"/>
        <family val="1"/>
      </rPr>
      <t>юр</t>
    </r>
  </si>
  <si>
    <r>
      <t>податок</t>
    </r>
    <r>
      <rPr>
        <b/>
        <i/>
        <sz val="12"/>
        <color indexed="10"/>
        <rFont val="Times New Roman"/>
        <family val="1"/>
      </rPr>
      <t xml:space="preserve"> юр</t>
    </r>
  </si>
  <si>
    <r>
      <t xml:space="preserve">оренда </t>
    </r>
    <r>
      <rPr>
        <b/>
        <i/>
        <sz val="12"/>
        <color indexed="10"/>
        <rFont val="Times New Roman"/>
        <family val="1"/>
      </rPr>
      <t>юр</t>
    </r>
  </si>
  <si>
    <r>
      <t xml:space="preserve">податок </t>
    </r>
    <r>
      <rPr>
        <b/>
        <i/>
        <sz val="12"/>
        <rFont val="Times New Roman"/>
        <family val="1"/>
      </rPr>
      <t>фіз</t>
    </r>
  </si>
  <si>
    <r>
      <t xml:space="preserve">оренда </t>
    </r>
    <r>
      <rPr>
        <b/>
        <i/>
        <sz val="12"/>
        <rFont val="Times New Roman"/>
        <family val="1"/>
      </rPr>
      <t>фіз</t>
    </r>
  </si>
  <si>
    <r>
      <t xml:space="preserve">турист </t>
    </r>
    <r>
      <rPr>
        <b/>
        <i/>
        <sz val="12"/>
        <color indexed="10"/>
        <rFont val="Times New Roman"/>
        <family val="1"/>
      </rPr>
      <t>юр</t>
    </r>
  </si>
  <si>
    <r>
      <t>турист</t>
    </r>
    <r>
      <rPr>
        <b/>
        <i/>
        <sz val="12"/>
        <rFont val="Times New Roman"/>
        <family val="1"/>
      </rPr>
      <t xml:space="preserve"> фіз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</si>
  <si>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29.11.2017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</si>
  <si>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28.11.17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</si>
</sst>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3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00"/>
    <numFmt numFmtId="181" formatCode="000000"/>
    <numFmt numFmtId="182" formatCode="#,##0.0"/>
    <numFmt numFmtId="183" formatCode="0.0"/>
    <numFmt numFmtId="184" formatCode="dd/mm/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-FC19]d\ mmmm\ yyyy\ &quot;г.&quot;"/>
    <numFmt numFmtId="189" formatCode="dd/mm/yy;@"/>
    <numFmt numFmtId="190" formatCode="[$-422]d\ mmmm\ yyyy&quot; р.&quot;"/>
    <numFmt numFmtId="191" formatCode="0.0%"/>
    <numFmt numFmtId="192" formatCode="#0.00"/>
    <numFmt numFmtId="193" formatCode="[$€-2]\ ###,000_);[Red]\([$€-2]\ ###,000\)"/>
    <numFmt numFmtId="194" formatCode="#,##0.00000"/>
  </numFmts>
  <fonts count="96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10"/>
      <color indexed="10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i/>
      <sz val="12"/>
      <color indexed="10"/>
      <name val="Times New Roman"/>
      <family val="1"/>
    </font>
    <font>
      <b/>
      <u val="single"/>
      <sz val="11"/>
      <name val="Times New Roman"/>
      <family val="1"/>
    </font>
    <font>
      <i/>
      <sz val="14"/>
      <name val="Times New Roman"/>
      <family val="1"/>
    </font>
    <font>
      <b/>
      <sz val="10"/>
      <name val="Arial Cyr"/>
      <family val="0"/>
    </font>
    <font>
      <sz val="12"/>
      <name val="Arial Cyr"/>
      <family val="0"/>
    </font>
    <font>
      <i/>
      <sz val="10"/>
      <name val="Times New Roman"/>
      <family val="1"/>
    </font>
    <font>
      <b/>
      <sz val="9"/>
      <name val="Times New Roman"/>
      <family val="1"/>
    </font>
    <font>
      <b/>
      <i/>
      <sz val="14"/>
      <color indexed="10"/>
      <name val="Times New Roman"/>
      <family val="1"/>
    </font>
    <font>
      <i/>
      <sz val="14"/>
      <color indexed="30"/>
      <name val="Times New Roman"/>
      <family val="1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color indexed="10"/>
      <name val="Times New Roman"/>
      <family val="1"/>
    </font>
    <font>
      <b/>
      <sz val="10"/>
      <color indexed="12"/>
      <name val="Times New Roman"/>
      <family val="1"/>
    </font>
    <font>
      <b/>
      <sz val="14"/>
      <color indexed="8"/>
      <name val="Calibri"/>
      <family val="2"/>
    </font>
    <font>
      <i/>
      <sz val="14"/>
      <color indexed="10"/>
      <name val="Times New Roman"/>
      <family val="1"/>
    </font>
    <font>
      <sz val="14"/>
      <color indexed="10"/>
      <name val="Times New Roman"/>
      <family val="1"/>
    </font>
    <font>
      <sz val="12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Times New Roman"/>
      <family val="1"/>
    </font>
    <font>
      <b/>
      <i/>
      <sz val="14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i/>
      <sz val="10"/>
      <color rgb="FFFF0000"/>
      <name val="Times New Roman"/>
      <family val="1"/>
    </font>
    <font>
      <b/>
      <sz val="10"/>
      <color rgb="FF0000FF"/>
      <name val="Times New Roman"/>
      <family val="1"/>
    </font>
    <font>
      <b/>
      <sz val="14"/>
      <color theme="1"/>
      <name val="Calibri"/>
      <family val="2"/>
    </font>
    <font>
      <i/>
      <sz val="14"/>
      <color rgb="FFFF0000"/>
      <name val="Times New Roman"/>
      <family val="1"/>
    </font>
    <font>
      <sz val="14"/>
      <color rgb="FFFF0000"/>
      <name val="Times New Roman"/>
      <family val="1"/>
    </font>
    <font>
      <sz val="12"/>
      <color theme="0"/>
      <name val="Times New Roman"/>
      <family val="1"/>
    </font>
    <font>
      <i/>
      <sz val="12"/>
      <color rgb="FFFF0000"/>
      <name val="Times New Roman"/>
      <family val="1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00B0F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26" fillId="0" borderId="0">
      <alignment/>
      <protection/>
    </xf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70" fillId="26" borderId="1" applyNumberFormat="0" applyAlignment="0" applyProtection="0"/>
    <xf numFmtId="0" fontId="71" fillId="27" borderId="2" applyNumberFormat="0" applyAlignment="0" applyProtection="0"/>
    <xf numFmtId="0" fontId="72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6" applyNumberFormat="0" applyFill="0" applyAlignment="0" applyProtection="0"/>
    <xf numFmtId="0" fontId="77" fillId="28" borderId="7" applyNumberFormat="0" applyAlignment="0" applyProtection="0"/>
    <xf numFmtId="0" fontId="78" fillId="0" borderId="0" applyNumberFormat="0" applyFill="0" applyBorder="0" applyAlignment="0" applyProtection="0"/>
    <xf numFmtId="0" fontId="79" fillId="29" borderId="0" applyNumberFormat="0" applyBorder="0" applyAlignment="0" applyProtection="0"/>
    <xf numFmtId="0" fontId="68" fillId="0" borderId="0">
      <alignment/>
      <protection/>
    </xf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80" fillId="30" borderId="0" applyNumberFormat="0" applyBorder="0" applyAlignment="0" applyProtection="0"/>
    <xf numFmtId="0" fontId="8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2" fillId="0" borderId="9" applyNumberFormat="0" applyFill="0" applyAlignment="0" applyProtection="0"/>
    <xf numFmtId="0" fontId="25" fillId="0" borderId="0">
      <alignment/>
      <protection/>
    </xf>
    <xf numFmtId="0" fontId="8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4" fillId="32" borderId="0" applyNumberFormat="0" applyBorder="0" applyAlignment="0" applyProtection="0"/>
  </cellStyleXfs>
  <cellXfs count="440">
    <xf numFmtId="0" fontId="0" fillId="0" borderId="0" xfId="0" applyAlignment="1">
      <alignment/>
    </xf>
    <xf numFmtId="0" fontId="2" fillId="0" borderId="0" xfId="55" applyFont="1" applyProtection="1">
      <alignment/>
      <protection/>
    </xf>
    <xf numFmtId="0" fontId="3" fillId="0" borderId="0" xfId="55" applyFont="1" applyAlignment="1" applyProtection="1">
      <alignment horizontal="center"/>
      <protection/>
    </xf>
    <xf numFmtId="0" fontId="7" fillId="0" borderId="0" xfId="55" applyFont="1" applyFill="1" applyProtection="1">
      <alignment/>
      <protection/>
    </xf>
    <xf numFmtId="0" fontId="7" fillId="0" borderId="0" xfId="55" applyFont="1" applyProtection="1">
      <alignment/>
      <protection/>
    </xf>
    <xf numFmtId="0" fontId="9" fillId="33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180" fontId="7" fillId="0" borderId="11" xfId="55" applyNumberFormat="1" applyFont="1" applyBorder="1" applyAlignment="1" applyProtection="1">
      <alignment horizontal="center" vertical="center" wrapText="1"/>
      <protection/>
    </xf>
    <xf numFmtId="180" fontId="7" fillId="0" borderId="12" xfId="55" applyNumberFormat="1" applyFont="1" applyBorder="1" applyAlignment="1" applyProtection="1">
      <alignment horizontal="center" vertical="center" wrapText="1"/>
      <protection/>
    </xf>
    <xf numFmtId="180" fontId="7" fillId="33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55" applyNumberFormat="1" applyFont="1" applyBorder="1" applyAlignment="1" applyProtection="1">
      <alignment horizontal="center" vertical="center" wrapText="1"/>
      <protection/>
    </xf>
    <xf numFmtId="0" fontId="4" fillId="0" borderId="10" xfId="55" applyFont="1" applyBorder="1" applyAlignment="1" applyProtection="1">
      <alignment horizontal="center" vertical="center"/>
      <protection/>
    </xf>
    <xf numFmtId="0" fontId="7" fillId="0" borderId="10" xfId="55" applyFont="1" applyBorder="1" applyAlignment="1" applyProtection="1">
      <alignment vertical="center" wrapText="1"/>
      <protection/>
    </xf>
    <xf numFmtId="0" fontId="7" fillId="0" borderId="10" xfId="55" applyFont="1" applyBorder="1" applyAlignment="1" applyProtection="1">
      <alignment vertical="center" wrapText="1"/>
      <protection/>
    </xf>
    <xf numFmtId="49" fontId="3" fillId="34" borderId="10" xfId="0" applyNumberFormat="1" applyFont="1" applyFill="1" applyBorder="1" applyAlignment="1" applyProtection="1">
      <alignment horizontal="center" vertical="center" wrapText="1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0" fontId="3" fillId="34" borderId="10" xfId="55" applyFont="1" applyFill="1" applyBorder="1" applyAlignment="1" applyProtection="1">
      <alignment horizontal="center" vertical="center" wrapText="1"/>
      <protection/>
    </xf>
    <xf numFmtId="0" fontId="3" fillId="0" borderId="0" xfId="55" applyFont="1" applyAlignment="1" applyProtection="1">
      <alignment horizontal="right"/>
      <protection/>
    </xf>
    <xf numFmtId="0" fontId="9" fillId="33" borderId="13" xfId="0" applyNumberFormat="1" applyFont="1" applyFill="1" applyBorder="1" applyAlignment="1" applyProtection="1">
      <alignment horizontal="center" vertical="center"/>
      <protection/>
    </xf>
    <xf numFmtId="49" fontId="15" fillId="0" borderId="10" xfId="55" applyNumberFormat="1" applyFont="1" applyBorder="1" applyAlignment="1" applyProtection="1">
      <alignment horizontal="center" vertical="center" wrapText="1"/>
      <protection/>
    </xf>
    <xf numFmtId="0" fontId="6" fillId="0" borderId="0" xfId="55" applyFont="1" applyProtection="1">
      <alignment/>
      <protection/>
    </xf>
    <xf numFmtId="0" fontId="3" fillId="34" borderId="10" xfId="55" applyFont="1" applyFill="1" applyBorder="1" applyAlignment="1" applyProtection="1">
      <alignment horizontal="center"/>
      <protection/>
    </xf>
    <xf numFmtId="0" fontId="6" fillId="0" borderId="10" xfId="55" applyFont="1" applyFill="1" applyBorder="1" applyAlignment="1" applyProtection="1">
      <alignment horizontal="center"/>
      <protection/>
    </xf>
    <xf numFmtId="0" fontId="7" fillId="0" borderId="10" xfId="55" applyFont="1" applyFill="1" applyBorder="1" applyAlignment="1" applyProtection="1">
      <alignment wrapText="1"/>
      <protection/>
    </xf>
    <xf numFmtId="182" fontId="7" fillId="0" borderId="10" xfId="55" applyNumberFormat="1" applyFont="1" applyFill="1" applyBorder="1" applyProtection="1">
      <alignment/>
      <protection/>
    </xf>
    <xf numFmtId="183" fontId="7" fillId="0" borderId="0" xfId="55" applyNumberFormat="1" applyFont="1" applyProtection="1">
      <alignment/>
      <protection/>
    </xf>
    <xf numFmtId="0" fontId="7" fillId="0" borderId="14" xfId="0" applyFont="1" applyBorder="1" applyAlignment="1">
      <alignment wrapText="1"/>
    </xf>
    <xf numFmtId="182" fontId="6" fillId="34" borderId="10" xfId="0" applyNumberFormat="1" applyFont="1" applyFill="1" applyBorder="1" applyAlignment="1" applyProtection="1">
      <alignment/>
      <protection/>
    </xf>
    <xf numFmtId="0" fontId="6" fillId="0" borderId="10" xfId="55" applyFont="1" applyFill="1" applyBorder="1" applyAlignment="1" applyProtection="1">
      <alignment wrapText="1"/>
      <protection/>
    </xf>
    <xf numFmtId="182" fontId="7" fillId="0" borderId="0" xfId="55" applyNumberFormat="1" applyFo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7" fillId="0" borderId="10" xfId="0" applyNumberFormat="1" applyFont="1" applyFill="1" applyBorder="1" applyAlignment="1" applyProtection="1">
      <alignment horizontal="right"/>
      <protection/>
    </xf>
    <xf numFmtId="49" fontId="4" fillId="0" borderId="14" xfId="55" applyNumberFormat="1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wrapText="1"/>
    </xf>
    <xf numFmtId="182" fontId="7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16" fillId="0" borderId="10" xfId="0" applyNumberFormat="1" applyFont="1" applyFill="1" applyBorder="1" applyAlignment="1" applyProtection="1">
      <alignment/>
      <protection/>
    </xf>
    <xf numFmtId="1" fontId="4" fillId="33" borderId="10" xfId="0" applyNumberFormat="1" applyFont="1" applyFill="1" applyBorder="1" applyAlignment="1" applyProtection="1">
      <alignment/>
      <protection/>
    </xf>
    <xf numFmtId="0" fontId="4" fillId="0" borderId="10" xfId="55" applyFont="1" applyBorder="1" applyAlignment="1" applyProtection="1">
      <alignment vertical="center"/>
      <protection/>
    </xf>
    <xf numFmtId="0" fontId="7" fillId="0" borderId="10" xfId="55" applyFont="1" applyBorder="1" applyAlignment="1" applyProtection="1">
      <alignment horizontal="left" vertical="center" wrapText="1"/>
      <protection/>
    </xf>
    <xf numFmtId="180" fontId="7" fillId="0" borderId="0" xfId="0" applyNumberFormat="1" applyFont="1" applyFill="1" applyBorder="1" applyAlignment="1" applyProtection="1">
      <alignment horizontal="center" vertical="center" wrapText="1"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/>
    </xf>
    <xf numFmtId="0" fontId="4" fillId="0" borderId="10" xfId="55" applyFont="1" applyBorder="1" applyAlignment="1" applyProtection="1">
      <alignment horizontal="right"/>
      <protection/>
    </xf>
    <xf numFmtId="0" fontId="18" fillId="0" borderId="10" xfId="55" applyFont="1" applyBorder="1" applyAlignment="1" applyProtection="1">
      <alignment horizontal="right" vertical="center" wrapText="1"/>
      <protection/>
    </xf>
    <xf numFmtId="0" fontId="7" fillId="0" borderId="0" xfId="55" applyFont="1" applyAlignment="1" applyProtection="1">
      <alignment horizontal="left"/>
      <protection/>
    </xf>
    <xf numFmtId="0" fontId="7" fillId="0" borderId="0" xfId="55" applyFont="1" applyAlignment="1" applyProtection="1">
      <alignment horizontal="left" wrapText="1"/>
      <protection/>
    </xf>
    <xf numFmtId="0" fontId="7" fillId="0" borderId="0" xfId="55" applyFont="1" applyAlignment="1" applyProtection="1">
      <alignment wrapText="1"/>
      <protection/>
    </xf>
    <xf numFmtId="182" fontId="16" fillId="0" borderId="10" xfId="0" applyNumberFormat="1" applyFont="1" applyFill="1" applyBorder="1" applyAlignment="1" applyProtection="1">
      <alignment/>
      <protection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49" fontId="21" fillId="0" borderId="10" xfId="0" applyNumberFormat="1" applyFont="1" applyFill="1" applyBorder="1" applyAlignment="1" applyProtection="1">
      <alignment horizontal="center" vertical="center" wrapText="1"/>
      <protection/>
    </xf>
    <xf numFmtId="182" fontId="22" fillId="0" borderId="10" xfId="0" applyNumberFormat="1" applyFont="1" applyFill="1" applyBorder="1" applyAlignment="1" applyProtection="1">
      <alignment horizontal="right"/>
      <protection/>
    </xf>
    <xf numFmtId="182" fontId="22" fillId="0" borderId="10" xfId="0" applyNumberFormat="1" applyFont="1" applyFill="1" applyBorder="1" applyAlignment="1" applyProtection="1">
      <alignment/>
      <protection/>
    </xf>
    <xf numFmtId="182" fontId="23" fillId="0" borderId="10" xfId="0" applyNumberFormat="1" applyFont="1" applyFill="1" applyBorder="1" applyAlignment="1" applyProtection="1">
      <alignment/>
      <protection/>
    </xf>
    <xf numFmtId="49" fontId="8" fillId="0" borderId="10" xfId="55" applyNumberFormat="1" applyFont="1" applyBorder="1" applyAlignment="1" applyProtection="1">
      <alignment horizontal="center" vertical="center" wrapText="1"/>
      <protection/>
    </xf>
    <xf numFmtId="0" fontId="10" fillId="0" borderId="10" xfId="55" applyFont="1" applyBorder="1" applyAlignment="1" applyProtection="1">
      <alignment vertical="center"/>
      <protection/>
    </xf>
    <xf numFmtId="1" fontId="24" fillId="34" borderId="10" xfId="0" applyNumberFormat="1" applyFont="1" applyFill="1" applyBorder="1" applyAlignment="1" applyProtection="1">
      <alignment/>
      <protection/>
    </xf>
    <xf numFmtId="1" fontId="24" fillId="0" borderId="10" xfId="0" applyNumberFormat="1" applyFont="1" applyFill="1" applyBorder="1" applyAlignment="1" applyProtection="1">
      <alignment/>
      <protection/>
    </xf>
    <xf numFmtId="0" fontId="10" fillId="0" borderId="10" xfId="55" applyFont="1" applyFill="1" applyBorder="1" applyAlignment="1" applyProtection="1">
      <alignment/>
      <protection/>
    </xf>
    <xf numFmtId="0" fontId="24" fillId="0" borderId="10" xfId="55" applyFont="1" applyFill="1" applyBorder="1" applyAlignment="1" applyProtection="1">
      <alignment/>
      <protection/>
    </xf>
    <xf numFmtId="0" fontId="10" fillId="34" borderId="10" xfId="55" applyFont="1" applyFill="1" applyBorder="1" applyProtection="1">
      <alignment/>
      <protection/>
    </xf>
    <xf numFmtId="0" fontId="10" fillId="0" borderId="0" xfId="55" applyFont="1" applyProtection="1">
      <alignment/>
      <protection/>
    </xf>
    <xf numFmtId="182" fontId="7" fillId="0" borderId="0" xfId="55" applyNumberFormat="1" applyFont="1" applyFill="1" applyBorder="1" applyProtection="1">
      <alignment/>
      <protection/>
    </xf>
    <xf numFmtId="0" fontId="7" fillId="0" borderId="0" xfId="55" applyFont="1" applyBorder="1" applyProtection="1">
      <alignment/>
      <protection/>
    </xf>
    <xf numFmtId="49" fontId="6" fillId="34" borderId="1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>
      <alignment/>
    </xf>
    <xf numFmtId="0" fontId="4" fillId="0" borderId="10" xfId="55" applyFont="1" applyBorder="1" applyAlignment="1" applyProtection="1">
      <alignment/>
      <protection/>
    </xf>
    <xf numFmtId="0" fontId="4" fillId="0" borderId="10" xfId="55" applyFont="1" applyFill="1" applyBorder="1" applyAlignment="1" applyProtection="1">
      <alignment/>
      <protection/>
    </xf>
    <xf numFmtId="0" fontId="9" fillId="0" borderId="10" xfId="55" applyFont="1" applyFill="1" applyBorder="1" applyAlignment="1" applyProtection="1">
      <alignment/>
      <protection/>
    </xf>
    <xf numFmtId="0" fontId="4" fillId="0" borderId="15" xfId="0" applyFont="1" applyBorder="1" applyAlignment="1">
      <alignment/>
    </xf>
    <xf numFmtId="0" fontId="7" fillId="0" borderId="0" xfId="55" applyFont="1" applyAlignment="1" applyProtection="1">
      <alignment horizontal="center"/>
      <protection/>
    </xf>
    <xf numFmtId="182" fontId="16" fillId="0" borderId="10" xfId="0" applyNumberFormat="1" applyFont="1" applyFill="1" applyBorder="1" applyAlignment="1" applyProtection="1">
      <alignment horizontal="right"/>
      <protection/>
    </xf>
    <xf numFmtId="4" fontId="7" fillId="0" borderId="0" xfId="55" applyNumberFormat="1" applyFont="1" applyProtection="1">
      <alignment/>
      <protection/>
    </xf>
    <xf numFmtId="182" fontId="22" fillId="0" borderId="10" xfId="0" applyNumberFormat="1" applyFont="1" applyFill="1" applyBorder="1" applyAlignment="1" applyProtection="1">
      <alignment/>
      <protection/>
    </xf>
    <xf numFmtId="182" fontId="27" fillId="0" borderId="0" xfId="0" applyNumberFormat="1" applyFont="1" applyFill="1" applyBorder="1" applyAlignment="1">
      <alignment horizontal="center"/>
    </xf>
    <xf numFmtId="14" fontId="7" fillId="0" borderId="0" xfId="55" applyNumberFormat="1" applyFont="1" applyProtection="1">
      <alignment/>
      <protection/>
    </xf>
    <xf numFmtId="182" fontId="6" fillId="35" borderId="10" xfId="0" applyNumberFormat="1" applyFont="1" applyFill="1" applyBorder="1" applyAlignment="1" applyProtection="1">
      <alignment horizontal="right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16" fillId="0" borderId="0" xfId="55" applyFont="1" applyAlignment="1" applyProtection="1">
      <alignment horizontal="center" wrapText="1"/>
      <protection/>
    </xf>
    <xf numFmtId="9" fontId="4" fillId="0" borderId="13" xfId="60" applyFont="1" applyFill="1" applyBorder="1" applyAlignment="1" applyProtection="1">
      <alignment horizontal="center" wrapText="1"/>
      <protection/>
    </xf>
    <xf numFmtId="0" fontId="12" fillId="0" borderId="0" xfId="55" applyFont="1" applyAlignment="1" applyProtection="1">
      <alignment horizontal="center"/>
      <protection/>
    </xf>
    <xf numFmtId="191" fontId="6" fillId="0" borderId="0" xfId="55" applyNumberFormat="1" applyFont="1" applyAlignment="1" applyProtection="1">
      <alignment horizontal="center"/>
      <protection/>
    </xf>
    <xf numFmtId="191" fontId="6" fillId="0" borderId="0" xfId="55" applyNumberFormat="1" applyFont="1" applyAlignment="1" applyProtection="1">
      <alignment horizontal="right"/>
      <protection/>
    </xf>
    <xf numFmtId="191" fontId="7" fillId="0" borderId="0" xfId="55" applyNumberFormat="1" applyFont="1" applyProtection="1">
      <alignment/>
      <protection/>
    </xf>
    <xf numFmtId="0" fontId="6" fillId="0" borderId="0" xfId="55" applyFont="1" applyAlignment="1" applyProtection="1">
      <alignment horizontal="center"/>
      <protection/>
    </xf>
    <xf numFmtId="9" fontId="4" fillId="0" borderId="10" xfId="60" applyFont="1" applyFill="1" applyBorder="1" applyAlignment="1" applyProtection="1">
      <alignment horizontal="center" wrapText="1"/>
      <protection/>
    </xf>
    <xf numFmtId="0" fontId="6" fillId="0" borderId="10" xfId="55" applyFont="1" applyBorder="1" applyAlignment="1" applyProtection="1">
      <alignment horizontal="center"/>
      <protection/>
    </xf>
    <xf numFmtId="191" fontId="15" fillId="0" borderId="10" xfId="55" applyNumberFormat="1" applyFont="1" applyBorder="1" applyAlignment="1" applyProtection="1">
      <alignment horizontal="center" vertical="center" wrapText="1"/>
      <protection/>
    </xf>
    <xf numFmtId="191" fontId="7" fillId="0" borderId="10" xfId="0" applyNumberFormat="1" applyFont="1" applyBorder="1" applyAlignment="1" applyProtection="1">
      <alignment/>
      <protection/>
    </xf>
    <xf numFmtId="191" fontId="6" fillId="34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7" fillId="0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16" fillId="0" borderId="10" xfId="0" applyNumberFormat="1" applyFont="1" applyFill="1" applyBorder="1" applyAlignment="1" applyProtection="1">
      <alignment/>
      <protection/>
    </xf>
    <xf numFmtId="182" fontId="16" fillId="0" borderId="10" xfId="0" applyNumberFormat="1" applyFont="1" applyBorder="1" applyAlignment="1" applyProtection="1">
      <alignment/>
      <protection/>
    </xf>
    <xf numFmtId="191" fontId="16" fillId="0" borderId="10" xfId="0" applyNumberFormat="1" applyFont="1" applyBorder="1" applyAlignment="1" applyProtection="1">
      <alignment/>
      <protection/>
    </xf>
    <xf numFmtId="0" fontId="32" fillId="0" borderId="10" xfId="55" applyFont="1" applyBorder="1" applyAlignment="1" applyProtection="1">
      <alignment vertical="center"/>
      <protection/>
    </xf>
    <xf numFmtId="182" fontId="18" fillId="0" borderId="10" xfId="0" applyNumberFormat="1" applyFont="1" applyFill="1" applyBorder="1" applyAlignment="1" applyProtection="1">
      <alignment horizontal="right"/>
      <protection/>
    </xf>
    <xf numFmtId="182" fontId="18" fillId="0" borderId="10" xfId="0" applyNumberFormat="1" applyFont="1" applyBorder="1" applyAlignment="1" applyProtection="1">
      <alignment/>
      <protection/>
    </xf>
    <xf numFmtId="182" fontId="18" fillId="0" borderId="10" xfId="0" applyNumberFormat="1" applyFont="1" applyFill="1" applyBorder="1" applyAlignment="1" applyProtection="1">
      <alignment horizontal="right"/>
      <protection locked="0"/>
    </xf>
    <xf numFmtId="182" fontId="18" fillId="0" borderId="10" xfId="0" applyNumberFormat="1" applyFont="1" applyFill="1" applyBorder="1" applyAlignment="1" applyProtection="1">
      <alignment/>
      <protection/>
    </xf>
    <xf numFmtId="182" fontId="17" fillId="0" borderId="10" xfId="0" applyNumberFormat="1" applyFont="1" applyBorder="1" applyAlignment="1" applyProtection="1">
      <alignment/>
      <protection/>
    </xf>
    <xf numFmtId="191" fontId="17" fillId="0" borderId="10" xfId="0" applyNumberFormat="1" applyFont="1" applyBorder="1" applyAlignment="1" applyProtection="1">
      <alignment/>
      <protection/>
    </xf>
    <xf numFmtId="191" fontId="18" fillId="0" borderId="10" xfId="0" applyNumberFormat="1" applyFont="1" applyBorder="1" applyAlignment="1" applyProtection="1">
      <alignment/>
      <protection/>
    </xf>
    <xf numFmtId="1" fontId="8" fillId="0" borderId="10" xfId="55" applyNumberFormat="1" applyFont="1" applyBorder="1" applyAlignment="1" applyProtection="1">
      <alignment horizontal="center" vertical="center" wrapText="1"/>
      <protection/>
    </xf>
    <xf numFmtId="182" fontId="22" fillId="35" borderId="10" xfId="0" applyNumberFormat="1" applyFont="1" applyFill="1" applyBorder="1" applyAlignment="1" applyProtection="1">
      <alignment horizontal="right"/>
      <protection/>
    </xf>
    <xf numFmtId="182" fontId="3" fillId="0" borderId="0" xfId="55" applyNumberFormat="1" applyFont="1" applyFill="1" applyAlignment="1" applyProtection="1">
      <alignment horizontal="center"/>
      <protection/>
    </xf>
    <xf numFmtId="182" fontId="7" fillId="0" borderId="0" xfId="55" applyNumberFormat="1" applyFont="1" applyFill="1" applyProtection="1">
      <alignment/>
      <protection/>
    </xf>
    <xf numFmtId="0" fontId="9" fillId="0" borderId="10" xfId="55" applyFont="1" applyBorder="1" applyAlignment="1" applyProtection="1">
      <alignment vertical="center"/>
      <protection/>
    </xf>
    <xf numFmtId="191" fontId="6" fillId="34" borderId="14" xfId="0" applyNumberFormat="1" applyFont="1" applyFill="1" applyBorder="1" applyAlignment="1" applyProtection="1">
      <alignment/>
      <protection/>
    </xf>
    <xf numFmtId="191" fontId="6" fillId="0" borderId="14" xfId="0" applyNumberFormat="1" applyFont="1" applyFill="1" applyBorder="1" applyAlignment="1" applyProtection="1">
      <alignment/>
      <protection/>
    </xf>
    <xf numFmtId="0" fontId="6" fillId="0" borderId="10" xfId="55" applyFont="1" applyBorder="1" applyAlignment="1" applyProtection="1">
      <alignment horizontal="left" vertical="center" wrapText="1"/>
      <protection/>
    </xf>
    <xf numFmtId="4" fontId="7" fillId="0" borderId="0" xfId="55" applyNumberFormat="1" applyFont="1" applyBorder="1" applyAlignment="1" applyProtection="1">
      <alignment horizontal="right"/>
      <protection/>
    </xf>
    <xf numFmtId="182" fontId="7" fillId="0" borderId="10" xfId="0" applyNumberFormat="1" applyFont="1" applyBorder="1" applyAlignment="1" applyProtection="1">
      <alignment/>
      <protection/>
    </xf>
    <xf numFmtId="0" fontId="4" fillId="0" borderId="10" xfId="55" applyFont="1" applyBorder="1" applyAlignment="1" applyProtection="1">
      <alignment vertical="center"/>
      <protection/>
    </xf>
    <xf numFmtId="0" fontId="18" fillId="0" borderId="10" xfId="55" applyFont="1" applyBorder="1" applyAlignment="1" applyProtection="1">
      <alignment vertical="center" wrapText="1"/>
      <protection/>
    </xf>
    <xf numFmtId="0" fontId="6" fillId="0" borderId="10" xfId="55" applyFont="1" applyBorder="1" applyAlignment="1" applyProtection="1">
      <alignment vertical="center" wrapText="1"/>
      <protection/>
    </xf>
    <xf numFmtId="0" fontId="34" fillId="0" borderId="10" xfId="55" applyFont="1" applyBorder="1" applyAlignment="1" applyProtection="1">
      <alignment vertical="center"/>
      <protection/>
    </xf>
    <xf numFmtId="182" fontId="7" fillId="0" borderId="0" xfId="55" applyNumberFormat="1" applyFont="1" applyBorder="1" applyAlignment="1" applyProtection="1">
      <alignment horizontal="right"/>
      <protection/>
    </xf>
    <xf numFmtId="182" fontId="7" fillId="0" borderId="0" xfId="55" applyNumberFormat="1" applyFont="1" applyFill="1" applyBorder="1" applyAlignment="1" applyProtection="1">
      <alignment horizontal="center"/>
      <protection/>
    </xf>
    <xf numFmtId="4" fontId="7" fillId="0" borderId="0" xfId="55" applyNumberFormat="1" applyFont="1" applyFill="1" applyBorder="1" applyAlignment="1" applyProtection="1">
      <alignment horizontal="right"/>
      <protection/>
    </xf>
    <xf numFmtId="182" fontId="35" fillId="0" borderId="10" xfId="0" applyNumberFormat="1" applyFont="1" applyBorder="1" applyAlignment="1" applyProtection="1">
      <alignment/>
      <protection/>
    </xf>
    <xf numFmtId="0" fontId="4" fillId="0" borderId="10" xfId="55" applyFont="1" applyBorder="1" applyAlignment="1" applyProtection="1">
      <alignment horizontal="center" vertical="center"/>
      <protection/>
    </xf>
    <xf numFmtId="0" fontId="7" fillId="0" borderId="14" xfId="55" applyFont="1" applyFill="1" applyBorder="1" applyAlignment="1" applyProtection="1">
      <alignment horizontal="left" vertical="center" wrapText="1"/>
      <protection/>
    </xf>
    <xf numFmtId="0" fontId="7" fillId="0" borderId="10" xfId="55" applyFont="1" applyFill="1" applyBorder="1" applyAlignment="1" applyProtection="1">
      <alignment vertical="center" wrapText="1"/>
      <protection/>
    </xf>
    <xf numFmtId="0" fontId="7" fillId="0" borderId="10" xfId="55" applyFont="1" applyFill="1" applyBorder="1" applyAlignment="1" applyProtection="1">
      <alignment vertical="center" wrapText="1"/>
      <protection/>
    </xf>
    <xf numFmtId="4" fontId="10" fillId="0" borderId="0" xfId="0" applyNumberFormat="1" applyFont="1" applyAlignment="1" applyProtection="1">
      <alignment/>
      <protection/>
    </xf>
    <xf numFmtId="4" fontId="6" fillId="0" borderId="0" xfId="55" applyNumberFormat="1" applyFont="1" applyFill="1" applyBorder="1" applyProtection="1">
      <alignment/>
      <protection/>
    </xf>
    <xf numFmtId="0" fontId="7" fillId="0" borderId="10" xfId="55" applyFont="1" applyFill="1" applyBorder="1" applyAlignment="1" applyProtection="1">
      <alignment horizontal="left" wrapText="1"/>
      <protection/>
    </xf>
    <xf numFmtId="0" fontId="4" fillId="0" borderId="10" xfId="55" applyFont="1" applyFill="1" applyBorder="1" applyAlignment="1" applyProtection="1">
      <alignment/>
      <protection/>
    </xf>
    <xf numFmtId="191" fontId="7" fillId="0" borderId="14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8" fillId="36" borderId="10" xfId="55" applyNumberFormat="1" applyFont="1" applyFill="1" applyBorder="1" applyAlignment="1" applyProtection="1">
      <alignment horizontal="center" vertical="center" wrapText="1"/>
      <protection/>
    </xf>
    <xf numFmtId="182" fontId="7" fillId="36" borderId="10" xfId="0" applyNumberFormat="1" applyFont="1" applyFill="1" applyBorder="1" applyAlignment="1" applyProtection="1">
      <alignment horizontal="right"/>
      <protection locked="0"/>
    </xf>
    <xf numFmtId="182" fontId="18" fillId="36" borderId="10" xfId="0" applyNumberFormat="1" applyFont="1" applyFill="1" applyBorder="1" applyAlignment="1" applyProtection="1">
      <alignment horizontal="right"/>
      <protection locked="0"/>
    </xf>
    <xf numFmtId="182" fontId="7" fillId="36" borderId="10" xfId="0" applyNumberFormat="1" applyFont="1" applyFill="1" applyBorder="1" applyAlignment="1" applyProtection="1">
      <alignment horizontal="right"/>
      <protection locked="0"/>
    </xf>
    <xf numFmtId="182" fontId="7" fillId="36" borderId="10" xfId="55" applyNumberFormat="1" applyFont="1" applyFill="1" applyBorder="1" applyProtection="1">
      <alignment/>
      <protection/>
    </xf>
    <xf numFmtId="49" fontId="8" fillId="13" borderId="10" xfId="55" applyNumberFormat="1" applyFont="1" applyFill="1" applyBorder="1" applyAlignment="1" applyProtection="1">
      <alignment horizontal="center" vertical="center" wrapText="1"/>
      <protection/>
    </xf>
    <xf numFmtId="182" fontId="18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/>
    </xf>
    <xf numFmtId="182" fontId="10" fillId="0" borderId="0" xfId="0" applyNumberFormat="1" applyFont="1" applyAlignment="1" applyProtection="1">
      <alignment/>
      <protection/>
    </xf>
    <xf numFmtId="0" fontId="7" fillId="19" borderId="10" xfId="55" applyFont="1" applyFill="1" applyBorder="1" applyAlignment="1" applyProtection="1">
      <alignment vertical="center" wrapText="1"/>
      <protection/>
    </xf>
    <xf numFmtId="0" fontId="7" fillId="19" borderId="10" xfId="0" applyFont="1" applyFill="1" applyBorder="1" applyAlignment="1">
      <alignment wrapText="1"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0" fontId="6" fillId="34" borderId="10" xfId="55" applyFont="1" applyFill="1" applyBorder="1" applyAlignment="1" applyProtection="1">
      <alignment horizontal="center" vertical="center" wrapText="1"/>
      <protection/>
    </xf>
    <xf numFmtId="182" fontId="2" fillId="34" borderId="10" xfId="0" applyNumberFormat="1" applyFont="1" applyFill="1" applyBorder="1" applyAlignment="1" applyProtection="1">
      <alignment/>
      <protection/>
    </xf>
    <xf numFmtId="182" fontId="2" fillId="36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20" fillId="0" borderId="10" xfId="0" applyNumberFormat="1" applyFont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2" fillId="36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37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85" fillId="0" borderId="10" xfId="0" applyNumberFormat="1" applyFont="1" applyFill="1" applyBorder="1" applyAlignment="1" applyProtection="1">
      <alignment/>
      <protection/>
    </xf>
    <xf numFmtId="182" fontId="2" fillId="36" borderId="10" xfId="0" applyNumberFormat="1" applyFont="1" applyFill="1" applyBorder="1" applyAlignment="1" applyProtection="1">
      <alignment horizontal="right"/>
      <protection/>
    </xf>
    <xf numFmtId="182" fontId="37" fillId="0" borderId="10" xfId="0" applyNumberFormat="1" applyFont="1" applyFill="1" applyBorder="1" applyAlignment="1" applyProtection="1">
      <alignment horizontal="right"/>
      <protection/>
    </xf>
    <xf numFmtId="182" fontId="37" fillId="36" borderId="10" xfId="0" applyNumberFormat="1" applyFont="1" applyFill="1" applyBorder="1" applyAlignment="1" applyProtection="1">
      <alignment horizontal="right"/>
      <protection locked="0"/>
    </xf>
    <xf numFmtId="182" fontId="37" fillId="0" borderId="10" xfId="0" applyNumberFormat="1" applyFont="1" applyFill="1" applyBorder="1" applyAlignment="1" applyProtection="1">
      <alignment horizontal="right"/>
      <protection locked="0"/>
    </xf>
    <xf numFmtId="182" fontId="37" fillId="0" borderId="10" xfId="0" applyNumberFormat="1" applyFont="1" applyBorder="1" applyAlignment="1" applyProtection="1">
      <alignment/>
      <protection/>
    </xf>
    <xf numFmtId="182" fontId="86" fillId="0" borderId="10" xfId="0" applyNumberFormat="1" applyFont="1" applyBorder="1" applyAlignment="1" applyProtection="1">
      <alignment/>
      <protection/>
    </xf>
    <xf numFmtId="182" fontId="37" fillId="13" borderId="10" xfId="0" applyNumberFormat="1" applyFont="1" applyFill="1" applyBorder="1" applyAlignment="1" applyProtection="1">
      <alignment horizontal="right"/>
      <protection locked="0"/>
    </xf>
    <xf numFmtId="182" fontId="37" fillId="0" borderId="10" xfId="0" applyNumberFormat="1" applyFont="1" applyFill="1" applyBorder="1" applyAlignment="1" applyProtection="1">
      <alignment/>
      <protection/>
    </xf>
    <xf numFmtId="182" fontId="20" fillId="0" borderId="10" xfId="0" applyNumberFormat="1" applyFont="1" applyBorder="1" applyAlignment="1" applyProtection="1">
      <alignment/>
      <protection/>
    </xf>
    <xf numFmtId="182" fontId="37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55" applyNumberFormat="1" applyFont="1" applyFill="1" applyBorder="1" applyProtection="1">
      <alignment/>
      <protection/>
    </xf>
    <xf numFmtId="182" fontId="2" fillId="36" borderId="10" xfId="55" applyNumberFormat="1" applyFont="1" applyFill="1" applyBorder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/>
    </xf>
    <xf numFmtId="182" fontId="3" fillId="0" borderId="10" xfId="55" applyNumberFormat="1" applyFont="1" applyFill="1" applyBorder="1" applyProtection="1">
      <alignment/>
      <protection/>
    </xf>
    <xf numFmtId="182" fontId="3" fillId="36" borderId="10" xfId="55" applyNumberFormat="1" applyFont="1" applyFill="1" applyBorder="1" applyProtection="1">
      <alignment/>
      <protection/>
    </xf>
    <xf numFmtId="182" fontId="3" fillId="0" borderId="10" xfId="0" applyNumberFormat="1" applyFont="1" applyFill="1" applyBorder="1" applyAlignment="1" applyProtection="1">
      <alignment horizontal="right"/>
      <protection/>
    </xf>
    <xf numFmtId="182" fontId="3" fillId="0" borderId="10" xfId="0" applyNumberFormat="1" applyFont="1" applyFill="1" applyBorder="1" applyAlignment="1" applyProtection="1">
      <alignment horizontal="right"/>
      <protection locked="0"/>
    </xf>
    <xf numFmtId="182" fontId="3" fillId="0" borderId="10" xfId="0" applyNumberFormat="1" applyFont="1" applyFill="1" applyBorder="1" applyAlignment="1" applyProtection="1">
      <alignment/>
      <protection/>
    </xf>
    <xf numFmtId="182" fontId="3" fillId="13" borderId="10" xfId="55" applyNumberFormat="1" applyFont="1" applyFill="1" applyBorder="1" applyProtection="1">
      <alignment/>
      <protection/>
    </xf>
    <xf numFmtId="182" fontId="3" fillId="13" borderId="10" xfId="0" applyNumberFormat="1" applyFont="1" applyFill="1" applyBorder="1" applyAlignment="1" applyProtection="1">
      <alignment horizontal="right"/>
      <protection/>
    </xf>
    <xf numFmtId="182" fontId="20" fillId="0" borderId="10" xfId="0" applyNumberFormat="1" applyFont="1" applyFill="1" applyBorder="1" applyAlignment="1" applyProtection="1">
      <alignment/>
      <protection/>
    </xf>
    <xf numFmtId="182" fontId="3" fillId="34" borderId="10" xfId="55" applyNumberFormat="1" applyFont="1" applyFill="1" applyBorder="1" applyProtection="1">
      <alignment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182" fontId="37" fillId="0" borderId="10" xfId="0" applyNumberFormat="1" applyFont="1" applyFill="1" applyBorder="1" applyAlignment="1" applyProtection="1">
      <alignment horizontal="right"/>
      <protection locked="0"/>
    </xf>
    <xf numFmtId="0" fontId="7" fillId="37" borderId="10" xfId="55" applyFont="1" applyFill="1" applyBorder="1" applyAlignment="1" applyProtection="1">
      <alignment horizontal="right" vertical="center" wrapText="1"/>
      <protection/>
    </xf>
    <xf numFmtId="0" fontId="34" fillId="37" borderId="10" xfId="55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182" fontId="2" fillId="37" borderId="10" xfId="0" applyNumberFormat="1" applyFont="1" applyFill="1" applyBorder="1" applyAlignment="1" applyProtection="1">
      <alignment/>
      <protection/>
    </xf>
    <xf numFmtId="182" fontId="37" fillId="36" borderId="10" xfId="0" applyNumberFormat="1" applyFont="1" applyFill="1" applyBorder="1" applyAlignment="1" applyProtection="1">
      <alignment horizontal="right"/>
      <protection locked="0"/>
    </xf>
    <xf numFmtId="182" fontId="7" fillId="38" borderId="0" xfId="55" applyNumberFormat="1" applyFont="1" applyFill="1" applyProtection="1">
      <alignment/>
      <protection/>
    </xf>
    <xf numFmtId="182" fontId="7" fillId="38" borderId="0" xfId="55" applyNumberFormat="1" applyFont="1" applyFill="1" applyBorder="1" applyProtection="1">
      <alignment/>
      <protection/>
    </xf>
    <xf numFmtId="9" fontId="4" fillId="0" borderId="0" xfId="60" applyFont="1" applyFill="1" applyBorder="1" applyAlignment="1" applyProtection="1">
      <alignment horizontal="center" wrapText="1"/>
      <protection/>
    </xf>
    <xf numFmtId="191" fontId="3" fillId="34" borderId="10" xfId="0" applyNumberFormat="1" applyFont="1" applyFill="1" applyBorder="1" applyAlignment="1" applyProtection="1">
      <alignment horizontal="right"/>
      <protection/>
    </xf>
    <xf numFmtId="191" fontId="20" fillId="0" borderId="10" xfId="0" applyNumberFormat="1" applyFont="1" applyBorder="1" applyAlignment="1" applyProtection="1">
      <alignment/>
      <protection/>
    </xf>
    <xf numFmtId="191" fontId="18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86" fillId="0" borderId="10" xfId="0" applyNumberFormat="1" applyFont="1" applyBorder="1" applyAlignment="1" applyProtection="1">
      <alignment/>
      <protection/>
    </xf>
    <xf numFmtId="191" fontId="37" fillId="0" borderId="10" xfId="0" applyNumberFormat="1" applyFont="1" applyBorder="1" applyAlignment="1" applyProtection="1">
      <alignment/>
      <protection/>
    </xf>
    <xf numFmtId="191" fontId="85" fillId="0" borderId="10" xfId="0" applyNumberFormat="1" applyFont="1" applyFill="1" applyBorder="1" applyAlignment="1" applyProtection="1">
      <alignment/>
      <protection/>
    </xf>
    <xf numFmtId="191" fontId="3" fillId="0" borderId="10" xfId="0" applyNumberFormat="1" applyFont="1" applyFill="1" applyBorder="1" applyAlignment="1" applyProtection="1">
      <alignment/>
      <protection/>
    </xf>
    <xf numFmtId="191" fontId="37" fillId="0" borderId="10" xfId="0" applyNumberFormat="1" applyFont="1" applyFill="1" applyBorder="1" applyAlignment="1" applyProtection="1">
      <alignment/>
      <protection/>
    </xf>
    <xf numFmtId="191" fontId="35" fillId="0" borderId="10" xfId="0" applyNumberFormat="1" applyFont="1" applyBorder="1" applyAlignment="1" applyProtection="1">
      <alignment/>
      <protection/>
    </xf>
    <xf numFmtId="191" fontId="7" fillId="0" borderId="10" xfId="0" applyNumberFormat="1" applyFont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191" fontId="24" fillId="0" borderId="10" xfId="0" applyNumberFormat="1" applyFont="1" applyFill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0" fontId="9" fillId="0" borderId="10" xfId="55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0" fontId="87" fillId="0" borderId="0" xfId="0" applyFont="1" applyAlignment="1" applyProtection="1">
      <alignment/>
      <protection/>
    </xf>
    <xf numFmtId="0" fontId="7" fillId="0" borderId="10" xfId="55" applyFont="1" applyFill="1" applyBorder="1" applyAlignment="1" applyProtection="1">
      <alignment horizontal="left" vertical="center" wrapText="1"/>
      <protection/>
    </xf>
    <xf numFmtId="191" fontId="85" fillId="0" borderId="10" xfId="0" applyNumberFormat="1" applyFont="1" applyBorder="1" applyAlignment="1" applyProtection="1">
      <alignment/>
      <protection/>
    </xf>
    <xf numFmtId="182" fontId="3" fillId="0" borderId="10" xfId="0" applyNumberFormat="1" applyFont="1" applyBorder="1" applyAlignment="1" applyProtection="1">
      <alignment/>
      <protection/>
    </xf>
    <xf numFmtId="191" fontId="2" fillId="37" borderId="10" xfId="0" applyNumberFormat="1" applyFont="1" applyFill="1" applyBorder="1" applyAlignment="1" applyProtection="1">
      <alignment/>
      <protection/>
    </xf>
    <xf numFmtId="182" fontId="7" fillId="37" borderId="0" xfId="55" applyNumberFormat="1" applyFont="1" applyFill="1" applyProtection="1">
      <alignment/>
      <protection/>
    </xf>
    <xf numFmtId="191" fontId="7" fillId="0" borderId="0" xfId="55" applyNumberFormat="1" applyFont="1" applyProtection="1">
      <alignment/>
      <protection/>
    </xf>
    <xf numFmtId="4" fontId="3" fillId="34" borderId="10" xfId="55" applyNumberFormat="1" applyFont="1" applyFill="1" applyBorder="1" applyProtection="1">
      <alignment/>
      <protection/>
    </xf>
    <xf numFmtId="0" fontId="7" fillId="38" borderId="10" xfId="55" applyFont="1" applyFill="1" applyBorder="1" applyAlignment="1" applyProtection="1">
      <alignment horizontal="left" vertical="center" wrapText="1"/>
      <protection/>
    </xf>
    <xf numFmtId="0" fontId="7" fillId="38" borderId="14" xfId="0" applyFont="1" applyFill="1" applyBorder="1" applyAlignment="1">
      <alignment wrapText="1"/>
    </xf>
    <xf numFmtId="0" fontId="7" fillId="38" borderId="10" xfId="55" applyFont="1" applyFill="1" applyBorder="1" applyAlignment="1" applyProtection="1">
      <alignment vertical="center" wrapText="1"/>
      <protection/>
    </xf>
    <xf numFmtId="0" fontId="7" fillId="38" borderId="10" xfId="55" applyFont="1" applyFill="1" applyBorder="1" applyAlignment="1" applyProtection="1">
      <alignment horizontal="left" wrapText="1"/>
      <protection/>
    </xf>
    <xf numFmtId="0" fontId="7" fillId="38" borderId="10" xfId="55" applyFont="1" applyFill="1" applyBorder="1" applyAlignment="1" applyProtection="1">
      <alignment wrapText="1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0" fontId="7" fillId="0" borderId="14" xfId="0" applyFont="1" applyFill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38" fillId="0" borderId="10" xfId="0" applyFont="1" applyBorder="1" applyAlignment="1">
      <alignment wrapText="1"/>
    </xf>
    <xf numFmtId="0" fontId="3" fillId="0" borderId="0" xfId="55" applyFont="1" applyProtection="1">
      <alignment/>
      <protection/>
    </xf>
    <xf numFmtId="191" fontId="3" fillId="0" borderId="0" xfId="55" applyNumberFormat="1" applyFont="1" applyProtection="1">
      <alignment/>
      <protection/>
    </xf>
    <xf numFmtId="182" fontId="39" fillId="0" borderId="10" xfId="0" applyNumberFormat="1" applyFont="1" applyBorder="1" applyAlignment="1">
      <alignment/>
    </xf>
    <xf numFmtId="0" fontId="7" fillId="0" borderId="0" xfId="55" applyFont="1" applyAlignment="1" applyProtection="1">
      <alignment horizontal="right"/>
      <protection/>
    </xf>
    <xf numFmtId="182" fontId="2" fillId="0" borderId="0" xfId="55" applyNumberFormat="1" applyFont="1" applyProtection="1">
      <alignment/>
      <protection/>
    </xf>
    <xf numFmtId="182" fontId="87" fillId="0" borderId="0" xfId="0" applyNumberFormat="1" applyFont="1" applyAlignment="1" applyProtection="1">
      <alignment/>
      <protection/>
    </xf>
    <xf numFmtId="182" fontId="10" fillId="0" borderId="0" xfId="0" applyNumberFormat="1" applyFont="1" applyFill="1" applyAlignment="1" applyProtection="1">
      <alignment/>
      <protection/>
    </xf>
    <xf numFmtId="182" fontId="85" fillId="0" borderId="0" xfId="55" applyNumberFormat="1" applyFont="1" applyProtection="1">
      <alignment/>
      <protection/>
    </xf>
    <xf numFmtId="182" fontId="88" fillId="0" borderId="0" xfId="55" applyNumberFormat="1" applyFont="1" applyProtection="1">
      <alignment/>
      <protection/>
    </xf>
    <xf numFmtId="182" fontId="87" fillId="0" borderId="0" xfId="0" applyNumberFormat="1" applyFont="1" applyFill="1" applyAlignment="1" applyProtection="1">
      <alignment/>
      <protection/>
    </xf>
    <xf numFmtId="0" fontId="18" fillId="0" borderId="10" xfId="55" applyFont="1" applyBorder="1" applyAlignment="1" applyProtection="1">
      <alignment horizontal="left" vertical="center" wrapText="1"/>
      <protection/>
    </xf>
    <xf numFmtId="182" fontId="37" fillId="0" borderId="10" xfId="0" applyNumberFormat="1" applyFont="1" applyFill="1" applyBorder="1" applyAlignment="1" applyProtection="1">
      <alignment horizontal="right"/>
      <protection/>
    </xf>
    <xf numFmtId="182" fontId="37" fillId="0" borderId="10" xfId="0" applyNumberFormat="1" applyFont="1" applyBorder="1" applyAlignment="1" applyProtection="1">
      <alignment/>
      <protection/>
    </xf>
    <xf numFmtId="182" fontId="86" fillId="0" borderId="10" xfId="0" applyNumberFormat="1" applyFont="1" applyFill="1" applyBorder="1" applyAlignment="1" applyProtection="1">
      <alignment/>
      <protection/>
    </xf>
    <xf numFmtId="191" fontId="86" fillId="0" borderId="10" xfId="0" applyNumberFormat="1" applyFont="1" applyFill="1" applyBorder="1" applyAlignment="1" applyProtection="1">
      <alignment/>
      <protection/>
    </xf>
    <xf numFmtId="182" fontId="40" fillId="0" borderId="0" xfId="0" applyNumberFormat="1" applyFont="1" applyAlignment="1" applyProtection="1">
      <alignment/>
      <protection/>
    </xf>
    <xf numFmtId="182" fontId="89" fillId="0" borderId="0" xfId="0" applyNumberFormat="1" applyFont="1" applyAlignment="1" applyProtection="1">
      <alignment/>
      <protection/>
    </xf>
    <xf numFmtId="4" fontId="2" fillId="0" borderId="0" xfId="55" applyNumberFormat="1" applyFont="1" applyProtection="1">
      <alignment/>
      <protection/>
    </xf>
    <xf numFmtId="4" fontId="7" fillId="0" borderId="0" xfId="55" applyNumberFormat="1" applyFont="1" applyFill="1" applyProtection="1">
      <alignment/>
      <protection/>
    </xf>
    <xf numFmtId="4" fontId="88" fillId="0" borderId="0" xfId="55" applyNumberFormat="1" applyFont="1" applyProtection="1">
      <alignment/>
      <protection/>
    </xf>
    <xf numFmtId="4" fontId="40" fillId="0" borderId="0" xfId="0" applyNumberFormat="1" applyFont="1" applyAlignment="1" applyProtection="1">
      <alignment/>
      <protection/>
    </xf>
    <xf numFmtId="4" fontId="10" fillId="0" borderId="0" xfId="0" applyNumberFormat="1" applyFont="1" applyFill="1" applyAlignment="1" applyProtection="1">
      <alignment/>
      <protection/>
    </xf>
    <xf numFmtId="4" fontId="90" fillId="0" borderId="0" xfId="0" applyNumberFormat="1" applyFont="1" applyAlignment="1" applyProtection="1">
      <alignment/>
      <protection/>
    </xf>
    <xf numFmtId="4" fontId="90" fillId="37" borderId="0" xfId="0" applyNumberFormat="1" applyFont="1" applyFill="1" applyAlignment="1" applyProtection="1">
      <alignment/>
      <protection/>
    </xf>
    <xf numFmtId="182" fontId="2" fillId="0" borderId="0" xfId="0" applyNumberFormat="1" applyFont="1" applyFill="1" applyBorder="1" applyAlignment="1" applyProtection="1">
      <alignment horizontal="right"/>
      <protection locked="0"/>
    </xf>
    <xf numFmtId="182" fontId="2" fillId="0" borderId="0" xfId="0" applyNumberFormat="1" applyFont="1" applyFill="1" applyBorder="1" applyAlignment="1" applyProtection="1">
      <alignment/>
      <protection/>
    </xf>
    <xf numFmtId="182" fontId="2" fillId="0" borderId="14" xfId="0" applyNumberFormat="1" applyFont="1" applyFill="1" applyBorder="1" applyAlignment="1" applyProtection="1">
      <alignment/>
      <protection/>
    </xf>
    <xf numFmtId="191" fontId="3" fillId="34" borderId="14" xfId="0" applyNumberFormat="1" applyFont="1" applyFill="1" applyBorder="1" applyAlignment="1" applyProtection="1">
      <alignment/>
      <protection/>
    </xf>
    <xf numFmtId="182" fontId="7" fillId="0" borderId="15" xfId="0" applyNumberFormat="1" applyFont="1" applyFill="1" applyBorder="1" applyAlignment="1" applyProtection="1">
      <alignment/>
      <protection/>
    </xf>
    <xf numFmtId="182" fontId="6" fillId="34" borderId="15" xfId="0" applyNumberFormat="1" applyFont="1" applyFill="1" applyBorder="1" applyAlignment="1" applyProtection="1">
      <alignment/>
      <protection/>
    </xf>
    <xf numFmtId="182" fontId="3" fillId="0" borderId="0" xfId="55" applyNumberFormat="1" applyFont="1" applyFill="1" applyBorder="1" applyProtection="1">
      <alignment/>
      <protection/>
    </xf>
    <xf numFmtId="182" fontId="3" fillId="0" borderId="0" xfId="0" applyNumberFormat="1" applyFont="1" applyFill="1" applyBorder="1" applyAlignment="1" applyProtection="1">
      <alignment/>
      <protection/>
    </xf>
    <xf numFmtId="182" fontId="3" fillId="0" borderId="0" xfId="0" applyNumberFormat="1" applyFont="1" applyFill="1" applyBorder="1" applyAlignment="1" applyProtection="1">
      <alignment horizontal="right"/>
      <protection/>
    </xf>
    <xf numFmtId="0" fontId="3" fillId="39" borderId="10" xfId="55" applyFont="1" applyFill="1" applyBorder="1" applyProtection="1">
      <alignment/>
      <protection/>
    </xf>
    <xf numFmtId="192" fontId="91" fillId="39" borderId="10" xfId="0" applyNumberFormat="1" applyFont="1" applyFill="1" applyBorder="1" applyAlignment="1">
      <alignment/>
    </xf>
    <xf numFmtId="182" fontId="91" fillId="39" borderId="10" xfId="0" applyNumberFormat="1" applyFont="1" applyFill="1" applyBorder="1" applyAlignment="1">
      <alignment/>
    </xf>
    <xf numFmtId="182" fontId="3" fillId="39" borderId="10" xfId="0" applyNumberFormat="1" applyFont="1" applyFill="1" applyBorder="1" applyAlignment="1" applyProtection="1">
      <alignment horizontal="right"/>
      <protection/>
    </xf>
    <xf numFmtId="182" fontId="3" fillId="39" borderId="10" xfId="0" applyNumberFormat="1" applyFont="1" applyFill="1" applyBorder="1" applyAlignment="1" applyProtection="1">
      <alignment/>
      <protection/>
    </xf>
    <xf numFmtId="182" fontId="6" fillId="34" borderId="14" xfId="0" applyNumberFormat="1" applyFont="1" applyFill="1" applyBorder="1" applyAlignment="1" applyProtection="1">
      <alignment/>
      <protection/>
    </xf>
    <xf numFmtId="182" fontId="7" fillId="0" borderId="14" xfId="0" applyNumberFormat="1" applyFont="1" applyFill="1" applyBorder="1" applyAlignment="1" applyProtection="1">
      <alignment/>
      <protection/>
    </xf>
    <xf numFmtId="182" fontId="6" fillId="0" borderId="14" xfId="0" applyNumberFormat="1" applyFont="1" applyFill="1" applyBorder="1" applyAlignment="1" applyProtection="1">
      <alignment/>
      <protection/>
    </xf>
    <xf numFmtId="182" fontId="17" fillId="37" borderId="10" xfId="0" applyNumberFormat="1" applyFont="1" applyFill="1" applyBorder="1" applyAlignment="1" applyProtection="1">
      <alignment/>
      <protection/>
    </xf>
    <xf numFmtId="0" fontId="88" fillId="0" borderId="0" xfId="55" applyFont="1" applyAlignment="1" applyProtection="1">
      <alignment horizontal="center"/>
      <protection/>
    </xf>
    <xf numFmtId="0" fontId="88" fillId="38" borderId="0" xfId="55" applyFont="1" applyFill="1" applyAlignment="1" applyProtection="1">
      <alignment horizontal="center"/>
      <protection/>
    </xf>
    <xf numFmtId="182" fontId="7" fillId="0" borderId="0" xfId="55" applyNumberFormat="1" applyFont="1" applyBorder="1" applyProtection="1">
      <alignment/>
      <protection/>
    </xf>
    <xf numFmtId="4" fontId="3" fillId="34" borderId="10" xfId="0" applyNumberFormat="1" applyFont="1" applyFill="1" applyBorder="1" applyAlignment="1" applyProtection="1">
      <alignment horizontal="right"/>
      <protection/>
    </xf>
    <xf numFmtId="182" fontId="88" fillId="0" borderId="10" xfId="0" applyNumberFormat="1" applyFont="1" applyFill="1" applyBorder="1" applyAlignment="1" applyProtection="1">
      <alignment/>
      <protection/>
    </xf>
    <xf numFmtId="182" fontId="3" fillId="13" borderId="10" xfId="0" applyNumberFormat="1" applyFont="1" applyFill="1" applyBorder="1" applyAlignment="1" applyProtection="1">
      <alignment horizontal="right"/>
      <protection locked="0"/>
    </xf>
    <xf numFmtId="182" fontId="7" fillId="37" borderId="10" xfId="0" applyNumberFormat="1" applyFont="1" applyFill="1" applyBorder="1" applyAlignment="1" applyProtection="1">
      <alignment horizontal="right"/>
      <protection/>
    </xf>
    <xf numFmtId="182" fontId="16" fillId="37" borderId="10" xfId="0" applyNumberFormat="1" applyFont="1" applyFill="1" applyBorder="1" applyAlignment="1" applyProtection="1">
      <alignment/>
      <protection/>
    </xf>
    <xf numFmtId="182" fontId="7" fillId="37" borderId="10" xfId="0" applyNumberFormat="1" applyFont="1" applyFill="1" applyBorder="1" applyAlignment="1" applyProtection="1">
      <alignment/>
      <protection/>
    </xf>
    <xf numFmtId="182" fontId="11" fillId="0" borderId="10" xfId="0" applyNumberFormat="1" applyFont="1" applyBorder="1" applyAlignment="1" applyProtection="1">
      <alignment/>
      <protection/>
    </xf>
    <xf numFmtId="182" fontId="88" fillId="0" borderId="10" xfId="0" applyNumberFormat="1" applyFont="1" applyBorder="1" applyAlignment="1" applyProtection="1">
      <alignment/>
      <protection/>
    </xf>
    <xf numFmtId="0" fontId="7" fillId="0" borderId="0" xfId="55" applyFont="1" applyBorder="1" applyAlignment="1" applyProtection="1">
      <alignment horizontal="center"/>
      <protection/>
    </xf>
    <xf numFmtId="0" fontId="9" fillId="0" borderId="0" xfId="55" applyFont="1" applyBorder="1" applyAlignment="1" applyProtection="1">
      <alignment horizontal="center" wrapText="1"/>
      <protection/>
    </xf>
    <xf numFmtId="182" fontId="92" fillId="40" borderId="10" xfId="0" applyNumberFormat="1" applyFont="1" applyFill="1" applyBorder="1" applyAlignment="1" applyProtection="1">
      <alignment horizontal="right"/>
      <protection/>
    </xf>
    <xf numFmtId="182" fontId="93" fillId="37" borderId="10" xfId="0" applyNumberFormat="1" applyFont="1" applyFill="1" applyBorder="1" applyAlignment="1" applyProtection="1">
      <alignment horizontal="right"/>
      <protection/>
    </xf>
    <xf numFmtId="182" fontId="2" fillId="37" borderId="10" xfId="0" applyNumberFormat="1" applyFont="1" applyFill="1" applyBorder="1" applyAlignment="1" applyProtection="1">
      <alignment/>
      <protection/>
    </xf>
    <xf numFmtId="0" fontId="7" fillId="41" borderId="10" xfId="55" applyFont="1" applyFill="1" applyBorder="1" applyAlignment="1" applyProtection="1">
      <alignment vertical="center" wrapText="1"/>
      <protection/>
    </xf>
    <xf numFmtId="182" fontId="3" fillId="42" borderId="10" xfId="0" applyNumberFormat="1" applyFont="1" applyFill="1" applyBorder="1" applyAlignment="1" applyProtection="1">
      <alignment/>
      <protection/>
    </xf>
    <xf numFmtId="191" fontId="3" fillId="42" borderId="10" xfId="0" applyNumberFormat="1" applyFont="1" applyFill="1" applyBorder="1" applyAlignment="1" applyProtection="1">
      <alignment/>
      <protection/>
    </xf>
    <xf numFmtId="182" fontId="92" fillId="40" borderId="10" xfId="0" applyNumberFormat="1" applyFont="1" applyFill="1" applyBorder="1" applyAlignment="1" applyProtection="1">
      <alignment horizontal="right"/>
      <protection/>
    </xf>
    <xf numFmtId="182" fontId="86" fillId="0" borderId="10" xfId="0" applyNumberFormat="1" applyFont="1" applyBorder="1" applyAlignment="1" applyProtection="1">
      <alignment/>
      <protection/>
    </xf>
    <xf numFmtId="191" fontId="37" fillId="0" borderId="10" xfId="0" applyNumberFormat="1" applyFont="1" applyBorder="1" applyAlignment="1" applyProtection="1">
      <alignment/>
      <protection/>
    </xf>
    <xf numFmtId="49" fontId="3" fillId="42" borderId="10" xfId="0" applyNumberFormat="1" applyFont="1" applyFill="1" applyBorder="1" applyAlignment="1" applyProtection="1">
      <alignment horizontal="center" vertical="center" wrapText="1"/>
      <protection/>
    </xf>
    <xf numFmtId="0" fontId="10" fillId="42" borderId="10" xfId="55" applyFont="1" applyFill="1" applyBorder="1" applyProtection="1">
      <alignment/>
      <protection/>
    </xf>
    <xf numFmtId="182" fontId="3" fillId="42" borderId="10" xfId="55" applyNumberFormat="1" applyFont="1" applyFill="1" applyBorder="1" applyProtection="1">
      <alignment/>
      <protection/>
    </xf>
    <xf numFmtId="182" fontId="3" fillId="42" borderId="10" xfId="0" applyNumberFormat="1" applyFont="1" applyFill="1" applyBorder="1" applyAlignment="1" applyProtection="1">
      <alignment horizontal="right"/>
      <protection/>
    </xf>
    <xf numFmtId="182" fontId="3" fillId="42" borderId="10" xfId="0" applyNumberFormat="1" applyFont="1" applyFill="1" applyBorder="1" applyAlignment="1" applyProtection="1">
      <alignment horizontal="right"/>
      <protection locked="0"/>
    </xf>
    <xf numFmtId="0" fontId="3" fillId="42" borderId="10" xfId="55" applyFont="1" applyFill="1" applyBorder="1" applyAlignment="1" applyProtection="1">
      <alignment horizontal="center"/>
      <protection/>
    </xf>
    <xf numFmtId="0" fontId="7" fillId="0" borderId="0" xfId="55" applyFont="1" applyAlignment="1" applyProtection="1">
      <alignment horizontal="center"/>
      <protection/>
    </xf>
    <xf numFmtId="182" fontId="7" fillId="0" borderId="0" xfId="0" applyNumberFormat="1" applyFont="1" applyFill="1" applyBorder="1" applyAlignment="1" applyProtection="1">
      <alignment/>
      <protection/>
    </xf>
    <xf numFmtId="182" fontId="3" fillId="39" borderId="0" xfId="0" applyNumberFormat="1" applyFont="1" applyFill="1" applyBorder="1" applyAlignment="1" applyProtection="1">
      <alignment/>
      <protection/>
    </xf>
    <xf numFmtId="4" fontId="3" fillId="0" borderId="0" xfId="55" applyNumberFormat="1" applyFont="1" applyFill="1" applyAlignment="1" applyProtection="1">
      <alignment horizontal="center"/>
      <protection/>
    </xf>
    <xf numFmtId="4" fontId="8" fillId="36" borderId="10" xfId="55" applyNumberFormat="1" applyFont="1" applyFill="1" applyBorder="1" applyAlignment="1" applyProtection="1">
      <alignment horizontal="center" vertical="center" wrapText="1"/>
      <protection/>
    </xf>
    <xf numFmtId="4" fontId="2" fillId="36" borderId="10" xfId="0" applyNumberFormat="1" applyFont="1" applyFill="1" applyBorder="1" applyAlignment="1" applyProtection="1">
      <alignment horizontal="right"/>
      <protection locked="0"/>
    </xf>
    <xf numFmtId="4" fontId="18" fillId="36" borderId="10" xfId="0" applyNumberFormat="1" applyFont="1" applyFill="1" applyBorder="1" applyAlignment="1" applyProtection="1">
      <alignment horizontal="right"/>
      <protection locked="0"/>
    </xf>
    <xf numFmtId="4" fontId="2" fillId="36" borderId="10" xfId="0" applyNumberFormat="1" applyFont="1" applyFill="1" applyBorder="1" applyAlignment="1" applyProtection="1">
      <alignment horizontal="right"/>
      <protection locked="0"/>
    </xf>
    <xf numFmtId="4" fontId="2" fillId="37" borderId="10" xfId="0" applyNumberFormat="1" applyFont="1" applyFill="1" applyBorder="1" applyAlignment="1" applyProtection="1">
      <alignment horizontal="right"/>
      <protection/>
    </xf>
    <xf numFmtId="4" fontId="2" fillId="36" borderId="10" xfId="0" applyNumberFormat="1" applyFont="1" applyFill="1" applyBorder="1" applyAlignment="1" applyProtection="1">
      <alignment horizontal="right"/>
      <protection/>
    </xf>
    <xf numFmtId="4" fontId="37" fillId="36" borderId="10" xfId="0" applyNumberFormat="1" applyFont="1" applyFill="1" applyBorder="1" applyAlignment="1" applyProtection="1">
      <alignment horizontal="right"/>
      <protection locked="0"/>
    </xf>
    <xf numFmtId="4" fontId="2" fillId="37" borderId="10" xfId="0" applyNumberFormat="1" applyFont="1" applyFill="1" applyBorder="1" applyAlignment="1" applyProtection="1">
      <alignment horizontal="right"/>
      <protection locked="0"/>
    </xf>
    <xf numFmtId="4" fontId="7" fillId="0" borderId="10" xfId="0" applyNumberFormat="1" applyFont="1" applyFill="1" applyBorder="1" applyAlignment="1" applyProtection="1">
      <alignment horizontal="right"/>
      <protection/>
    </xf>
    <xf numFmtId="4" fontId="7" fillId="36" borderId="10" xfId="0" applyNumberFormat="1" applyFont="1" applyFill="1" applyBorder="1" applyAlignment="1" applyProtection="1">
      <alignment horizontal="right"/>
      <protection locked="0"/>
    </xf>
    <xf numFmtId="4" fontId="37" fillId="36" borderId="10" xfId="0" applyNumberFormat="1" applyFont="1" applyFill="1" applyBorder="1" applyAlignment="1" applyProtection="1">
      <alignment horizontal="right"/>
      <protection locked="0"/>
    </xf>
    <xf numFmtId="4" fontId="7" fillId="36" borderId="10" xfId="0" applyNumberFormat="1" applyFont="1" applyFill="1" applyBorder="1" applyAlignment="1" applyProtection="1">
      <alignment horizontal="right"/>
      <protection locked="0"/>
    </xf>
    <xf numFmtId="4" fontId="6" fillId="35" borderId="10" xfId="0" applyNumberFormat="1" applyFont="1" applyFill="1" applyBorder="1" applyAlignment="1" applyProtection="1">
      <alignment horizontal="right"/>
      <protection/>
    </xf>
    <xf numFmtId="4" fontId="22" fillId="35" borderId="10" xfId="0" applyNumberFormat="1" applyFont="1" applyFill="1" applyBorder="1" applyAlignment="1" applyProtection="1">
      <alignment horizontal="right"/>
      <protection/>
    </xf>
    <xf numFmtId="4" fontId="7" fillId="36" borderId="10" xfId="55" applyNumberFormat="1" applyFont="1" applyFill="1" applyBorder="1" applyProtection="1">
      <alignment/>
      <protection/>
    </xf>
    <xf numFmtId="4" fontId="2" fillId="36" borderId="10" xfId="55" applyNumberFormat="1" applyFont="1" applyFill="1" applyBorder="1" applyProtection="1">
      <alignment/>
      <protection/>
    </xf>
    <xf numFmtId="4" fontId="3" fillId="36" borderId="10" xfId="55" applyNumberFormat="1" applyFont="1" applyFill="1" applyBorder="1" applyProtection="1">
      <alignment/>
      <protection/>
    </xf>
    <xf numFmtId="4" fontId="7" fillId="0" borderId="0" xfId="55" applyNumberFormat="1" applyFont="1" applyFill="1" applyBorder="1" applyProtection="1">
      <alignment/>
      <protection/>
    </xf>
    <xf numFmtId="4" fontId="7" fillId="0" borderId="0" xfId="55" applyNumberFormat="1" applyFont="1" applyFill="1" applyBorder="1" applyAlignment="1" applyProtection="1">
      <alignment horizontal="center"/>
      <protection/>
    </xf>
    <xf numFmtId="4" fontId="7" fillId="38" borderId="0" xfId="55" applyNumberFormat="1" applyFont="1" applyFill="1" applyBorder="1" applyProtection="1">
      <alignment/>
      <protection/>
    </xf>
    <xf numFmtId="4" fontId="7" fillId="37" borderId="0" xfId="55" applyNumberFormat="1" applyFont="1" applyFill="1" applyProtection="1">
      <alignment/>
      <protection/>
    </xf>
    <xf numFmtId="191" fontId="2" fillId="0" borderId="0" xfId="55" applyNumberFormat="1" applyFont="1" applyProtection="1">
      <alignment/>
      <protection/>
    </xf>
    <xf numFmtId="191" fontId="4" fillId="0" borderId="15" xfId="0" applyNumberFormat="1" applyFont="1" applyBorder="1" applyAlignment="1" applyProtection="1">
      <alignment horizontal="center" vertical="center" wrapText="1"/>
      <protection/>
    </xf>
    <xf numFmtId="191" fontId="6" fillId="0" borderId="0" xfId="55" applyNumberFormat="1" applyFont="1" applyAlignment="1" applyProtection="1">
      <alignment horizontal="center"/>
      <protection/>
    </xf>
    <xf numFmtId="191" fontId="8" fillId="0" borderId="10" xfId="55" applyNumberFormat="1" applyFont="1" applyBorder="1" applyAlignment="1" applyProtection="1">
      <alignment horizontal="center" vertical="center" wrapText="1"/>
      <protection/>
    </xf>
    <xf numFmtId="191" fontId="2" fillId="37" borderId="10" xfId="0" applyNumberFormat="1" applyFont="1" applyFill="1" applyBorder="1" applyAlignment="1" applyProtection="1">
      <alignment/>
      <protection/>
    </xf>
    <xf numFmtId="191" fontId="16" fillId="0" borderId="0" xfId="55" applyNumberFormat="1" applyFont="1" applyAlignment="1" applyProtection="1">
      <alignment horizontal="center" wrapText="1"/>
      <protection/>
    </xf>
    <xf numFmtId="191" fontId="7" fillId="0" borderId="0" xfId="55" applyNumberFormat="1" applyFont="1" applyBorder="1" applyAlignment="1" applyProtection="1">
      <alignment horizontal="center"/>
      <protection/>
    </xf>
    <xf numFmtId="191" fontId="9" fillId="0" borderId="0" xfId="55" applyNumberFormat="1" applyFont="1" applyBorder="1" applyAlignment="1" applyProtection="1">
      <alignment horizontal="center" wrapText="1"/>
      <protection/>
    </xf>
    <xf numFmtId="191" fontId="7" fillId="0" borderId="0" xfId="55" applyNumberFormat="1" applyFont="1" applyBorder="1" applyProtection="1">
      <alignment/>
      <protection/>
    </xf>
    <xf numFmtId="191" fontId="7" fillId="0" borderId="0" xfId="0" applyNumberFormat="1" applyFont="1" applyFill="1" applyBorder="1" applyAlignment="1" applyProtection="1">
      <alignment/>
      <protection/>
    </xf>
    <xf numFmtId="191" fontId="3" fillId="39" borderId="0" xfId="0" applyNumberFormat="1" applyFont="1" applyFill="1" applyBorder="1" applyAlignment="1" applyProtection="1">
      <alignment/>
      <protection/>
    </xf>
    <xf numFmtId="182" fontId="94" fillId="0" borderId="0" xfId="55" applyNumberFormat="1" applyFont="1" applyProtection="1">
      <alignment/>
      <protection/>
    </xf>
    <xf numFmtId="0" fontId="7" fillId="38" borderId="10" xfId="55" applyFont="1" applyFill="1" applyBorder="1" applyAlignment="1" applyProtection="1">
      <alignment vertical="center" wrapText="1"/>
      <protection/>
    </xf>
    <xf numFmtId="0" fontId="7" fillId="37" borderId="10" xfId="55" applyFont="1" applyFill="1" applyBorder="1" applyAlignment="1" applyProtection="1">
      <alignment vertical="center" wrapText="1"/>
      <protection/>
    </xf>
    <xf numFmtId="0" fontId="7" fillId="43" borderId="10" xfId="55" applyFont="1" applyFill="1" applyBorder="1" applyAlignment="1" applyProtection="1">
      <alignment horizontal="left" vertical="center" wrapText="1"/>
      <protection/>
    </xf>
    <xf numFmtId="0" fontId="7" fillId="43" borderId="10" xfId="55" applyFont="1" applyFill="1" applyBorder="1" applyAlignment="1" applyProtection="1">
      <alignment vertical="center" wrapText="1"/>
      <protection/>
    </xf>
    <xf numFmtId="0" fontId="7" fillId="43" borderId="14" xfId="55" applyFont="1" applyFill="1" applyBorder="1" applyAlignment="1" applyProtection="1">
      <alignment horizontal="left" vertical="center" wrapText="1"/>
      <protection/>
    </xf>
    <xf numFmtId="0" fontId="7" fillId="43" borderId="14" xfId="0" applyFont="1" applyFill="1" applyBorder="1" applyAlignment="1">
      <alignment wrapText="1"/>
    </xf>
    <xf numFmtId="0" fontId="7" fillId="38" borderId="10" xfId="0" applyFont="1" applyFill="1" applyBorder="1" applyAlignment="1">
      <alignment wrapText="1"/>
    </xf>
    <xf numFmtId="0" fontId="7" fillId="37" borderId="10" xfId="0" applyFont="1" applyFill="1" applyBorder="1" applyAlignment="1">
      <alignment wrapText="1"/>
    </xf>
    <xf numFmtId="0" fontId="7" fillId="44" borderId="10" xfId="55" applyFont="1" applyFill="1" applyBorder="1" applyAlignment="1" applyProtection="1">
      <alignment vertical="center" wrapText="1"/>
      <protection/>
    </xf>
    <xf numFmtId="0" fontId="7" fillId="43" borderId="10" xfId="55" applyFont="1" applyFill="1" applyBorder="1" applyAlignment="1" applyProtection="1">
      <alignment vertical="center" wrapText="1"/>
      <protection/>
    </xf>
    <xf numFmtId="0" fontId="7" fillId="0" borderId="0" xfId="55" applyFont="1" applyFill="1" applyAlignment="1" applyProtection="1">
      <alignment horizontal="center"/>
      <protection/>
    </xf>
    <xf numFmtId="0" fontId="88" fillId="0" borderId="0" xfId="55" applyFont="1" applyFill="1" applyAlignment="1" applyProtection="1">
      <alignment horizontal="center"/>
      <protection/>
    </xf>
    <xf numFmtId="0" fontId="18" fillId="0" borderId="10" xfId="55" applyFont="1" applyFill="1" applyBorder="1" applyAlignment="1" applyProtection="1">
      <alignment horizontal="right" vertical="center" wrapText="1"/>
      <protection/>
    </xf>
    <xf numFmtId="0" fontId="6" fillId="0" borderId="10" xfId="55" applyFont="1" applyFill="1" applyBorder="1" applyAlignment="1" applyProtection="1">
      <alignment horizontal="left" vertical="center" wrapText="1"/>
      <protection/>
    </xf>
    <xf numFmtId="191" fontId="7" fillId="0" borderId="0" xfId="0" applyNumberFormat="1" applyFont="1" applyAlignment="1" applyProtection="1">
      <alignment horizontal="center"/>
      <protection/>
    </xf>
    <xf numFmtId="191" fontId="18" fillId="0" borderId="0" xfId="0" applyNumberFormat="1" applyFont="1" applyAlignment="1" applyProtection="1">
      <alignment horizontal="center"/>
      <protection/>
    </xf>
    <xf numFmtId="191" fontId="6" fillId="0" borderId="0" xfId="0" applyNumberFormat="1" applyFont="1" applyFill="1" applyAlignment="1" applyProtection="1">
      <alignment horizontal="center"/>
      <protection/>
    </xf>
    <xf numFmtId="191" fontId="6" fillId="0" borderId="0" xfId="0" applyNumberFormat="1" applyFont="1" applyAlignment="1" applyProtection="1">
      <alignment horizontal="center"/>
      <protection/>
    </xf>
    <xf numFmtId="182" fontId="37" fillId="37" borderId="10" xfId="0" applyNumberFormat="1" applyFont="1" applyFill="1" applyBorder="1" applyAlignment="1" applyProtection="1">
      <alignment/>
      <protection/>
    </xf>
    <xf numFmtId="182" fontId="37" fillId="40" borderId="10" xfId="0" applyNumberFormat="1" applyFont="1" applyFill="1" applyBorder="1" applyAlignment="1" applyProtection="1">
      <alignment horizontal="right"/>
      <protection/>
    </xf>
    <xf numFmtId="182" fontId="37" fillId="40" borderId="10" xfId="0" applyNumberFormat="1" applyFont="1" applyFill="1" applyBorder="1" applyAlignment="1" applyProtection="1">
      <alignment horizontal="right"/>
      <protection/>
    </xf>
    <xf numFmtId="182" fontId="40" fillId="0" borderId="10" xfId="0" applyNumberFormat="1" applyFont="1" applyBorder="1" applyAlignment="1" applyProtection="1">
      <alignment/>
      <protection/>
    </xf>
    <xf numFmtId="191" fontId="40" fillId="0" borderId="10" xfId="0" applyNumberFormat="1" applyFont="1" applyBorder="1" applyAlignment="1" applyProtection="1">
      <alignment/>
      <protection/>
    </xf>
    <xf numFmtId="0" fontId="37" fillId="37" borderId="10" xfId="55" applyFont="1" applyFill="1" applyBorder="1" applyAlignment="1" applyProtection="1">
      <alignment horizontal="right" vertical="center" wrapText="1"/>
      <protection/>
    </xf>
    <xf numFmtId="182" fontId="18" fillId="37" borderId="10" xfId="0" applyNumberFormat="1" applyFont="1" applyFill="1" applyBorder="1" applyAlignment="1" applyProtection="1">
      <alignment horizontal="right"/>
      <protection locked="0"/>
    </xf>
    <xf numFmtId="0" fontId="18" fillId="37" borderId="10" xfId="55" applyFont="1" applyFill="1" applyBorder="1" applyAlignment="1" applyProtection="1">
      <alignment horizontal="right" vertical="center" wrapText="1"/>
      <protection/>
    </xf>
    <xf numFmtId="191" fontId="2" fillId="0" borderId="10" xfId="0" applyNumberFormat="1" applyFont="1" applyFill="1" applyBorder="1" applyAlignment="1" applyProtection="1">
      <alignment horizontal="right"/>
      <protection locked="0"/>
    </xf>
    <xf numFmtId="191" fontId="18" fillId="0" borderId="10" xfId="0" applyNumberFormat="1" applyFont="1" applyFill="1" applyBorder="1" applyAlignment="1" applyProtection="1">
      <alignment horizontal="right"/>
      <protection locked="0"/>
    </xf>
    <xf numFmtId="191" fontId="3" fillId="34" borderId="10" xfId="0" applyNumberFormat="1" applyFont="1" applyFill="1" applyBorder="1" applyAlignment="1" applyProtection="1">
      <alignment horizontal="right"/>
      <protection locked="0"/>
    </xf>
    <xf numFmtId="191" fontId="37" fillId="0" borderId="10" xfId="0" applyNumberFormat="1" applyFont="1" applyFill="1" applyBorder="1" applyAlignment="1" applyProtection="1">
      <alignment horizontal="right"/>
      <protection locked="0"/>
    </xf>
    <xf numFmtId="191" fontId="2" fillId="37" borderId="10" xfId="0" applyNumberFormat="1" applyFont="1" applyFill="1" applyBorder="1" applyAlignment="1" applyProtection="1">
      <alignment horizontal="right"/>
      <protection locked="0"/>
    </xf>
    <xf numFmtId="191" fontId="2" fillId="0" borderId="10" xfId="0" applyNumberFormat="1" applyFont="1" applyFill="1" applyBorder="1" applyAlignment="1" applyProtection="1">
      <alignment horizontal="right"/>
      <protection locked="0"/>
    </xf>
    <xf numFmtId="191" fontId="6" fillId="0" borderId="10" xfId="0" applyNumberFormat="1" applyFont="1" applyFill="1" applyBorder="1" applyAlignment="1" applyProtection="1">
      <alignment horizontal="right"/>
      <protection locked="0"/>
    </xf>
    <xf numFmtId="191" fontId="7" fillId="0" borderId="10" xfId="0" applyNumberFormat="1" applyFont="1" applyFill="1" applyBorder="1" applyAlignment="1" applyProtection="1">
      <alignment horizontal="right"/>
      <protection locked="0"/>
    </xf>
    <xf numFmtId="191" fontId="3" fillId="0" borderId="10" xfId="0" applyNumberFormat="1" applyFont="1" applyFill="1" applyBorder="1" applyAlignment="1" applyProtection="1">
      <alignment horizontal="right"/>
      <protection locked="0"/>
    </xf>
    <xf numFmtId="191" fontId="3" fillId="42" borderId="10" xfId="0" applyNumberFormat="1" applyFont="1" applyFill="1" applyBorder="1" applyAlignment="1" applyProtection="1">
      <alignment horizontal="right"/>
      <protection locked="0"/>
    </xf>
    <xf numFmtId="182" fontId="18" fillId="37" borderId="10" xfId="0" applyNumberFormat="1" applyFont="1" applyFill="1" applyBorder="1" applyAlignment="1" applyProtection="1">
      <alignment horizontal="right"/>
      <protection/>
    </xf>
    <xf numFmtId="182" fontId="95" fillId="37" borderId="10" xfId="0" applyNumberFormat="1" applyFont="1" applyFill="1" applyBorder="1" applyAlignment="1" applyProtection="1">
      <alignment horizontal="right"/>
      <protection/>
    </xf>
    <xf numFmtId="191" fontId="18" fillId="37" borderId="10" xfId="0" applyNumberFormat="1" applyFont="1" applyFill="1" applyBorder="1" applyAlignment="1" applyProtection="1">
      <alignment horizontal="right"/>
      <protection locked="0"/>
    </xf>
    <xf numFmtId="182" fontId="18" fillId="37" borderId="10" xfId="0" applyNumberFormat="1" applyFont="1" applyFill="1" applyBorder="1" applyAlignment="1" applyProtection="1">
      <alignment/>
      <protection/>
    </xf>
    <xf numFmtId="191" fontId="18" fillId="37" borderId="10" xfId="0" applyNumberFormat="1" applyFont="1" applyFill="1" applyBorder="1" applyAlignment="1" applyProtection="1">
      <alignment/>
      <protection/>
    </xf>
    <xf numFmtId="182" fontId="18" fillId="40" borderId="10" xfId="0" applyNumberFormat="1" applyFont="1" applyFill="1" applyBorder="1" applyAlignment="1" applyProtection="1">
      <alignment horizontal="right"/>
      <protection/>
    </xf>
    <xf numFmtId="191" fontId="20" fillId="0" borderId="10" xfId="0" applyNumberFormat="1" applyFont="1" applyFill="1" applyBorder="1" applyAlignment="1" applyProtection="1">
      <alignment/>
      <protection/>
    </xf>
    <xf numFmtId="182" fontId="4" fillId="0" borderId="16" xfId="55" applyNumberFormat="1" applyFont="1" applyFill="1" applyBorder="1" applyAlignment="1" applyProtection="1">
      <alignment horizontal="center" vertical="center" wrapText="1"/>
      <protection/>
    </xf>
    <xf numFmtId="182" fontId="4" fillId="0" borderId="17" xfId="55" applyNumberFormat="1" applyFont="1" applyFill="1" applyBorder="1" applyAlignment="1" applyProtection="1">
      <alignment horizontal="center" vertical="center" wrapText="1"/>
      <protection/>
    </xf>
    <xf numFmtId="0" fontId="24" fillId="13" borderId="16" xfId="55" applyFont="1" applyFill="1" applyBorder="1" applyAlignment="1" applyProtection="1">
      <alignment horizontal="center" vertical="center" wrapText="1"/>
      <protection/>
    </xf>
    <xf numFmtId="0" fontId="24" fillId="13" borderId="17" xfId="55" applyFont="1" applyFill="1" applyBorder="1" applyAlignment="1" applyProtection="1">
      <alignment horizontal="center" vertical="center" wrapText="1"/>
      <protection/>
    </xf>
    <xf numFmtId="0" fontId="12" fillId="0" borderId="0" xfId="55" applyFont="1" applyAlignment="1" applyProtection="1">
      <alignment horizontal="center"/>
      <protection/>
    </xf>
    <xf numFmtId="0" fontId="85" fillId="0" borderId="0" xfId="55" applyFont="1" applyFill="1" applyAlignment="1" applyProtection="1">
      <alignment horizontal="center"/>
      <protection/>
    </xf>
    <xf numFmtId="49" fontId="5" fillId="33" borderId="13" xfId="0" applyNumberFormat="1" applyFont="1" applyFill="1" applyBorder="1" applyAlignment="1" applyProtection="1">
      <alignment horizontal="center" vertical="center" textRotation="90" wrapText="1"/>
      <protection/>
    </xf>
    <xf numFmtId="49" fontId="5" fillId="33" borderId="17" xfId="0" applyNumberFormat="1" applyFont="1" applyFill="1" applyBorder="1" applyAlignment="1" applyProtection="1">
      <alignment horizontal="center" vertical="center" textRotation="90" wrapText="1"/>
      <protection/>
    </xf>
    <xf numFmtId="49" fontId="20" fillId="0" borderId="10" xfId="55" applyNumberFormat="1" applyFont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0" xfId="55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18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9" fontId="4" fillId="0" borderId="16" xfId="60" applyFont="1" applyFill="1" applyBorder="1" applyAlignment="1" applyProtection="1">
      <alignment horizontal="center" vertical="center" wrapText="1"/>
      <protection/>
    </xf>
    <xf numFmtId="9" fontId="4" fillId="0" borderId="13" xfId="60" applyFont="1" applyFill="1" applyBorder="1" applyAlignment="1" applyProtection="1">
      <alignment horizontal="center" vertical="center" wrapText="1"/>
      <protection/>
    </xf>
    <xf numFmtId="9" fontId="4" fillId="0" borderId="17" xfId="60" applyFont="1" applyFill="1" applyBorder="1" applyAlignment="1" applyProtection="1">
      <alignment horizontal="center" vertical="center" wrapText="1"/>
      <protection/>
    </xf>
    <xf numFmtId="0" fontId="4" fillId="0" borderId="10" xfId="55" applyFont="1" applyFill="1" applyBorder="1" applyAlignment="1" applyProtection="1">
      <alignment horizontal="center" wrapText="1"/>
      <protection/>
    </xf>
    <xf numFmtId="0" fontId="4" fillId="0" borderId="13" xfId="55" applyFont="1" applyFill="1" applyBorder="1" applyAlignment="1" applyProtection="1">
      <alignment horizontal="center" vertical="center" wrapText="1"/>
      <protection/>
    </xf>
    <xf numFmtId="0" fontId="4" fillId="0" borderId="17" xfId="55" applyFont="1" applyFill="1" applyBorder="1" applyAlignment="1" applyProtection="1">
      <alignment horizontal="center" vertical="center" wrapText="1"/>
      <protection/>
    </xf>
    <xf numFmtId="0" fontId="4" fillId="0" borderId="10" xfId="55" applyFont="1" applyFill="1" applyBorder="1" applyAlignment="1" applyProtection="1">
      <alignment horizontal="center" vertical="center" wrapText="1"/>
      <protection/>
    </xf>
    <xf numFmtId="0" fontId="24" fillId="0" borderId="19" xfId="55" applyFont="1" applyFill="1" applyBorder="1" applyAlignment="1" applyProtection="1">
      <alignment horizontal="center" vertical="center" wrapText="1"/>
      <protection/>
    </xf>
    <xf numFmtId="0" fontId="24" fillId="0" borderId="20" xfId="55" applyFont="1" applyFill="1" applyBorder="1" applyAlignment="1" applyProtection="1">
      <alignment horizontal="center" vertical="center" wrapText="1"/>
      <protection/>
    </xf>
    <xf numFmtId="0" fontId="24" fillId="0" borderId="21" xfId="55" applyFont="1" applyFill="1" applyBorder="1" applyAlignment="1" applyProtection="1">
      <alignment horizontal="center" vertical="center" wrapText="1"/>
      <protection/>
    </xf>
    <xf numFmtId="0" fontId="41" fillId="37" borderId="19" xfId="55" applyFont="1" applyFill="1" applyBorder="1" applyAlignment="1" applyProtection="1">
      <alignment horizontal="center" vertical="center" wrapText="1"/>
      <protection/>
    </xf>
    <xf numFmtId="0" fontId="41" fillId="37" borderId="20" xfId="55" applyFont="1" applyFill="1" applyBorder="1" applyAlignment="1" applyProtection="1">
      <alignment horizontal="center" vertical="center" wrapText="1"/>
      <protection/>
    </xf>
    <xf numFmtId="0" fontId="41" fillId="37" borderId="21" xfId="55" applyFont="1" applyFill="1" applyBorder="1" applyAlignment="1" applyProtection="1">
      <alignment horizontal="center" vertical="center" wrapText="1"/>
      <protection/>
    </xf>
    <xf numFmtId="0" fontId="24" fillId="0" borderId="10" xfId="55" applyFont="1" applyFill="1" applyBorder="1" applyAlignment="1" applyProtection="1">
      <alignment horizontal="center" vertical="center" wrapText="1"/>
      <protection/>
    </xf>
    <xf numFmtId="0" fontId="7" fillId="0" borderId="0" xfId="55" applyFont="1" applyBorder="1" applyAlignment="1" applyProtection="1">
      <alignment horizontal="left" wrapText="1"/>
      <protection/>
    </xf>
    <xf numFmtId="0" fontId="7" fillId="0" borderId="0" xfId="55" applyFont="1" applyBorder="1" applyAlignment="1" applyProtection="1">
      <alignment horizontal="right" wrapText="1"/>
      <protection/>
    </xf>
    <xf numFmtId="182" fontId="6" fillId="36" borderId="13" xfId="0" applyNumberFormat="1" applyFont="1" applyFill="1" applyBorder="1" applyAlignment="1" applyProtection="1">
      <alignment horizontal="center" vertical="center" wrapText="1"/>
      <protection/>
    </xf>
    <xf numFmtId="182" fontId="6" fillId="36" borderId="17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55" applyFont="1" applyAlignment="1" applyProtection="1">
      <alignment horizontal="center" wrapText="1"/>
      <protection/>
    </xf>
    <xf numFmtId="0" fontId="28" fillId="0" borderId="0" xfId="55" applyFont="1" applyAlignment="1" applyProtection="1">
      <alignment horizontal="center"/>
      <protection/>
    </xf>
    <xf numFmtId="0" fontId="28" fillId="0" borderId="0" xfId="55" applyFont="1" applyBorder="1" applyAlignment="1" applyProtection="1">
      <alignment horizontal="center"/>
      <protection/>
    </xf>
    <xf numFmtId="0" fontId="7" fillId="0" borderId="0" xfId="55" applyFont="1" applyBorder="1" applyAlignment="1" applyProtection="1">
      <alignment horizontal="right"/>
      <protection/>
    </xf>
    <xf numFmtId="0" fontId="7" fillId="0" borderId="0" xfId="55" applyFont="1" applyAlignment="1" applyProtection="1">
      <alignment horizontal="center"/>
      <protection/>
    </xf>
    <xf numFmtId="0" fontId="19" fillId="0" borderId="0" xfId="55" applyFont="1" applyAlignment="1" applyProtection="1">
      <alignment horizontal="center"/>
      <protection/>
    </xf>
    <xf numFmtId="0" fontId="7" fillId="0" borderId="0" xfId="55" applyFont="1" applyAlignment="1" applyProtection="1">
      <alignment horizontal="right"/>
      <protection/>
    </xf>
    <xf numFmtId="0" fontId="24" fillId="37" borderId="19" xfId="55" applyFont="1" applyFill="1" applyBorder="1" applyAlignment="1" applyProtection="1">
      <alignment horizontal="center" vertical="center" wrapText="1"/>
      <protection/>
    </xf>
    <xf numFmtId="0" fontId="24" fillId="37" borderId="20" xfId="55" applyFont="1" applyFill="1" applyBorder="1" applyAlignment="1" applyProtection="1">
      <alignment horizontal="center" vertical="center" wrapText="1"/>
      <protection/>
    </xf>
    <xf numFmtId="0" fontId="24" fillId="37" borderId="21" xfId="55" applyFont="1" applyFill="1" applyBorder="1" applyAlignment="1" applyProtection="1">
      <alignment horizontal="center" vertical="center" wrapText="1"/>
      <protection/>
    </xf>
    <xf numFmtId="0" fontId="24" fillId="0" borderId="14" xfId="55" applyFont="1" applyFill="1" applyBorder="1" applyAlignment="1" applyProtection="1">
      <alignment horizontal="center" vertical="center" wrapText="1"/>
      <protection/>
    </xf>
    <xf numFmtId="0" fontId="24" fillId="0" borderId="18" xfId="55" applyFont="1" applyFill="1" applyBorder="1" applyAlignment="1" applyProtection="1">
      <alignment horizontal="center" vertical="center" wrapText="1"/>
      <protection/>
    </xf>
    <xf numFmtId="0" fontId="7" fillId="0" borderId="0" xfId="55" applyFont="1" applyBorder="1" applyAlignment="1" applyProtection="1">
      <alignment horizontal="center"/>
      <protection/>
    </xf>
    <xf numFmtId="0" fontId="9" fillId="0" borderId="0" xfId="55" applyFont="1" applyBorder="1" applyAlignment="1" applyProtection="1">
      <alignment horizontal="center" wrapText="1"/>
      <protection/>
    </xf>
    <xf numFmtId="4" fontId="6" fillId="36" borderId="13" xfId="0" applyNumberFormat="1" applyFont="1" applyFill="1" applyBorder="1" applyAlignment="1" applyProtection="1">
      <alignment horizontal="center" vertical="center" wrapText="1"/>
      <protection/>
    </xf>
    <xf numFmtId="4" fontId="6" fillId="36" borderId="17" xfId="0" applyNumberFormat="1" applyFont="1" applyFill="1" applyBorder="1" applyAlignment="1" applyProtection="1">
      <alignment horizontal="center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ZV1PIV98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5;&#1086;&#1076;&#1077;&#1085;&#1085;&#1110;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3"/>
      <sheetName val="22012500"/>
      <sheetName val="180000"/>
      <sheetName val="Лист2"/>
      <sheetName val="210811-2"/>
      <sheetName val="210811"/>
      <sheetName val="трансф"/>
      <sheetName val="Лист1"/>
      <sheetName val="розв-2"/>
      <sheetName val="розв"/>
      <sheetName val="240603-2"/>
      <sheetName val="240603"/>
      <sheetName val="210805"/>
      <sheetName val="220804-2"/>
      <sheetName val="8104-сф"/>
      <sheetName val="7490-сф"/>
      <sheetName val="220804"/>
      <sheetName val="депозит"/>
      <sheetName val="надх"/>
      <sheetName val="залишки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грудень"/>
      <sheetName val="кредити"/>
      <sheetName val="повер ПДФО та трансп"/>
      <sheetName val="2111 з 2003р"/>
      <sheetName val="220102-сертиф"/>
      <sheetName val="2105"/>
      <sheetName val="пайова 2013-2015 10 міс"/>
      <sheetName val="земля"/>
      <sheetName val="1102 и210103"/>
      <sheetName val="Фонтан Сіті"/>
      <sheetName val="очік-03"/>
      <sheetName val="очік на кредит"/>
      <sheetName val="очік на  ост квітень"/>
      <sheetName val="ЧТКЕ"/>
    </sheetNames>
    <sheetDataSet>
      <sheetData sheetId="44">
        <row r="6">
          <cell r="G6" t="str">
            <v>авансові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Y167"/>
  <sheetViews>
    <sheetView tabSelected="1" zoomScale="81" zoomScaleNormal="81" zoomScalePageLayoutView="0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D109" sqref="D109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87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3" width="11.75390625" style="4" hidden="1" customWidth="1"/>
    <col min="14" max="14" width="14.00390625" style="4" hidden="1" customWidth="1"/>
    <col min="15" max="15" width="11.75390625" style="4" hidden="1" customWidth="1"/>
    <col min="16" max="16" width="11.75390625" style="230" hidden="1" customWidth="1"/>
    <col min="17" max="17" width="13.625" style="4" hidden="1" customWidth="1"/>
    <col min="18" max="18" width="12.25390625" style="4" hidden="1" customWidth="1"/>
    <col min="19" max="19" width="14.25390625" style="4" hidden="1" customWidth="1"/>
    <col min="20" max="20" width="12.00390625" style="4" customWidth="1"/>
    <col min="21" max="21" width="12.25390625" style="4" customWidth="1"/>
    <col min="22" max="22" width="12.625" style="4" customWidth="1"/>
    <col min="23" max="23" width="11.00390625" style="4" customWidth="1"/>
    <col min="24" max="24" width="11.375" style="312" hidden="1" customWidth="1"/>
    <col min="25" max="16384" width="9.125" style="4" customWidth="1"/>
  </cols>
  <sheetData>
    <row r="1" spans="1:24" s="1" customFormat="1" ht="26.25" customHeight="1">
      <c r="A1" s="396" t="s">
        <v>279</v>
      </c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  <c r="M1" s="396"/>
      <c r="N1" s="396"/>
      <c r="O1" s="396"/>
      <c r="P1" s="396"/>
      <c r="Q1" s="396"/>
      <c r="R1" s="396"/>
      <c r="S1" s="396"/>
      <c r="T1" s="396"/>
      <c r="U1" s="396"/>
      <c r="V1" s="396"/>
      <c r="W1" s="396"/>
      <c r="X1" s="312"/>
    </row>
    <row r="2" spans="2:24" s="1" customFormat="1" ht="15.75" customHeight="1">
      <c r="B2" s="397"/>
      <c r="C2" s="397"/>
      <c r="D2" s="397"/>
      <c r="E2" s="2"/>
      <c r="F2" s="112"/>
      <c r="G2" s="2"/>
      <c r="H2" s="2"/>
      <c r="P2" s="337"/>
      <c r="S2" s="1" t="s">
        <v>24</v>
      </c>
      <c r="W2" s="17" t="s">
        <v>24</v>
      </c>
      <c r="X2" s="312"/>
    </row>
    <row r="3" spans="1:24" s="3" customFormat="1" ht="13.5" customHeight="1">
      <c r="A3" s="398"/>
      <c r="B3" s="400"/>
      <c r="C3" s="401" t="s">
        <v>0</v>
      </c>
      <c r="D3" s="402" t="s">
        <v>150</v>
      </c>
      <c r="E3" s="32"/>
      <c r="F3" s="403" t="s">
        <v>26</v>
      </c>
      <c r="G3" s="404"/>
      <c r="H3" s="404"/>
      <c r="I3" s="404"/>
      <c r="J3" s="405"/>
      <c r="K3" s="83" t="s">
        <v>245</v>
      </c>
      <c r="L3" s="83"/>
      <c r="M3" s="83"/>
      <c r="N3" s="83" t="s">
        <v>245</v>
      </c>
      <c r="O3" s="83"/>
      <c r="P3" s="338"/>
      <c r="Q3" s="83"/>
      <c r="R3" s="83"/>
      <c r="S3" s="83"/>
      <c r="T3" s="406" t="s">
        <v>265</v>
      </c>
      <c r="U3" s="409" t="s">
        <v>118</v>
      </c>
      <c r="V3" s="409"/>
      <c r="W3" s="409"/>
      <c r="X3" s="359"/>
    </row>
    <row r="4" spans="1:23" ht="22.5" customHeight="1">
      <c r="A4" s="398"/>
      <c r="B4" s="400"/>
      <c r="C4" s="401"/>
      <c r="D4" s="402"/>
      <c r="E4" s="392" t="s">
        <v>262</v>
      </c>
      <c r="F4" s="422" t="s">
        <v>33</v>
      </c>
      <c r="G4" s="410" t="s">
        <v>263</v>
      </c>
      <c r="H4" s="407" t="s">
        <v>264</v>
      </c>
      <c r="I4" s="410" t="s">
        <v>138</v>
      </c>
      <c r="J4" s="407" t="s">
        <v>139</v>
      </c>
      <c r="K4" s="85" t="s">
        <v>246</v>
      </c>
      <c r="L4" s="204" t="s">
        <v>113</v>
      </c>
      <c r="M4" s="90" t="s">
        <v>63</v>
      </c>
      <c r="N4" s="85" t="s">
        <v>141</v>
      </c>
      <c r="O4" s="204" t="s">
        <v>113</v>
      </c>
      <c r="P4" s="339" t="s">
        <v>63</v>
      </c>
      <c r="Q4" s="85" t="s">
        <v>141</v>
      </c>
      <c r="R4" s="204" t="s">
        <v>113</v>
      </c>
      <c r="S4" s="90" t="s">
        <v>63</v>
      </c>
      <c r="T4" s="407"/>
      <c r="U4" s="394" t="s">
        <v>280</v>
      </c>
      <c r="V4" s="410" t="s">
        <v>49</v>
      </c>
      <c r="W4" s="412" t="s">
        <v>48</v>
      </c>
    </row>
    <row r="5" spans="1:23" ht="67.5" customHeight="1">
      <c r="A5" s="399"/>
      <c r="B5" s="400"/>
      <c r="C5" s="401"/>
      <c r="D5" s="402"/>
      <c r="E5" s="393"/>
      <c r="F5" s="423"/>
      <c r="G5" s="411"/>
      <c r="H5" s="408"/>
      <c r="I5" s="411"/>
      <c r="J5" s="408"/>
      <c r="K5" s="413" t="s">
        <v>247</v>
      </c>
      <c r="L5" s="414"/>
      <c r="M5" s="415"/>
      <c r="N5" s="416" t="s">
        <v>248</v>
      </c>
      <c r="O5" s="417"/>
      <c r="P5" s="418"/>
      <c r="Q5" s="419" t="s">
        <v>266</v>
      </c>
      <c r="R5" s="419"/>
      <c r="S5" s="419"/>
      <c r="T5" s="408"/>
      <c r="U5" s="395"/>
      <c r="V5" s="411"/>
      <c r="W5" s="412"/>
    </row>
    <row r="6" spans="1:23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/>
      <c r="L6" s="10"/>
      <c r="M6" s="10"/>
      <c r="N6" s="10"/>
      <c r="O6" s="10"/>
      <c r="P6" s="340"/>
      <c r="Q6" s="10" t="s">
        <v>25</v>
      </c>
      <c r="R6" s="10"/>
      <c r="S6" s="10" t="s">
        <v>66</v>
      </c>
      <c r="T6" s="10" t="s">
        <v>67</v>
      </c>
      <c r="U6" s="143" t="s">
        <v>68</v>
      </c>
      <c r="V6" s="10" t="s">
        <v>69</v>
      </c>
      <c r="W6" s="10" t="s">
        <v>70</v>
      </c>
    </row>
    <row r="7" spans="1:23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0"/>
      <c r="P7" s="340"/>
      <c r="Q7" s="10"/>
      <c r="R7" s="10"/>
      <c r="S7" s="10"/>
      <c r="T7" s="10"/>
      <c r="U7" s="143"/>
      <c r="V7" s="10"/>
      <c r="W7" s="10"/>
    </row>
    <row r="8" spans="1:24" s="6" customFormat="1" ht="17.25">
      <c r="A8" s="7"/>
      <c r="B8" s="154" t="s">
        <v>9</v>
      </c>
      <c r="C8" s="70" t="s">
        <v>10</v>
      </c>
      <c r="D8" s="151">
        <f>D9+D15+D18+D19+D23+D17</f>
        <v>1294181.1</v>
      </c>
      <c r="E8" s="151">
        <f>E9+E15+E18+E19+E23+E17</f>
        <v>1182565.6</v>
      </c>
      <c r="F8" s="151">
        <f>F9+F15+F18+F19+F23+F17</f>
        <v>1181655.05</v>
      </c>
      <c r="G8" s="151">
        <f>F8-E8</f>
        <v>-910.5500000000466</v>
      </c>
      <c r="H8" s="377">
        <f aca="true" t="shared" si="0" ref="H8:H15">F8/E8</f>
        <v>0.9992300215734332</v>
      </c>
      <c r="I8" s="153">
        <f aca="true" t="shared" si="1" ref="I8:I52">F8-D8</f>
        <v>-112526.05000000005</v>
      </c>
      <c r="J8" s="219">
        <f aca="true" t="shared" si="2" ref="J8:J14">F8/D8</f>
        <v>0.9130523154757861</v>
      </c>
      <c r="K8" s="153"/>
      <c r="L8" s="153"/>
      <c r="M8" s="153"/>
      <c r="N8" s="153">
        <v>984796</v>
      </c>
      <c r="O8" s="153">
        <f aca="true" t="shared" si="3" ref="O8:O20">D8-N8</f>
        <v>309385.1000000001</v>
      </c>
      <c r="P8" s="219">
        <f aca="true" t="shared" si="4" ref="P8:P20">D8/N8</f>
        <v>1.3141616131665848</v>
      </c>
      <c r="Q8" s="151">
        <v>890598.48</v>
      </c>
      <c r="R8" s="151">
        <f aca="true" t="shared" si="5" ref="R8:R78">F8-Q8</f>
        <v>291056.57000000007</v>
      </c>
      <c r="S8" s="205">
        <f aca="true" t="shared" si="6" ref="S8:S20">F8/Q8</f>
        <v>1.326810090670714</v>
      </c>
      <c r="T8" s="151">
        <f>T9+T15+T18+T19+T23+T17</f>
        <v>118021</v>
      </c>
      <c r="U8" s="151">
        <f>U9+U15+U18+U19+U23+U17</f>
        <v>105830.91000000003</v>
      </c>
      <c r="V8" s="151">
        <f>U8-T8</f>
        <v>-12190.089999999967</v>
      </c>
      <c r="W8" s="205">
        <f aca="true" t="shared" si="7" ref="W8:W15">U8/T8</f>
        <v>0.8967125342100137</v>
      </c>
      <c r="X8" s="365">
        <f aca="true" t="shared" si="8" ref="X8:X22">S8-P8</f>
        <v>0.01264847750412934</v>
      </c>
    </row>
    <row r="9" spans="1:24" s="6" customFormat="1" ht="18">
      <c r="A9" s="8"/>
      <c r="B9" s="130" t="s">
        <v>79</v>
      </c>
      <c r="C9" s="43">
        <v>11010000</v>
      </c>
      <c r="D9" s="150">
        <v>766645</v>
      </c>
      <c r="E9" s="150">
        <v>685666</v>
      </c>
      <c r="F9" s="156">
        <v>672950.65</v>
      </c>
      <c r="G9" s="150">
        <f>F9-E9</f>
        <v>-12715.349999999977</v>
      </c>
      <c r="H9" s="375">
        <f t="shared" si="0"/>
        <v>0.9814554754063932</v>
      </c>
      <c r="I9" s="158">
        <f t="shared" si="1"/>
        <v>-93694.34999999998</v>
      </c>
      <c r="J9" s="210">
        <f t="shared" si="2"/>
        <v>0.8777865244017766</v>
      </c>
      <c r="K9" s="158"/>
      <c r="L9" s="158"/>
      <c r="M9" s="158"/>
      <c r="N9" s="158">
        <v>541908.6</v>
      </c>
      <c r="O9" s="158">
        <f t="shared" si="3"/>
        <v>224736.40000000002</v>
      </c>
      <c r="P9" s="210">
        <f t="shared" si="4"/>
        <v>1.414712739380774</v>
      </c>
      <c r="Q9" s="227">
        <v>480042.75</v>
      </c>
      <c r="R9" s="159">
        <f t="shared" si="5"/>
        <v>192907.90000000002</v>
      </c>
      <c r="S9" s="206">
        <f t="shared" si="6"/>
        <v>1.4018556680628966</v>
      </c>
      <c r="T9" s="157">
        <f>E9-жовтень!E9</f>
        <v>72026</v>
      </c>
      <c r="U9" s="160">
        <f>F9-жовтень!F9</f>
        <v>54739.66000000003</v>
      </c>
      <c r="V9" s="161">
        <f>U9-T9</f>
        <v>-17286.339999999967</v>
      </c>
      <c r="W9" s="210">
        <f t="shared" si="7"/>
        <v>0.7599986116124737</v>
      </c>
      <c r="X9" s="366">
        <f t="shared" si="8"/>
        <v>-0.012857071317877278</v>
      </c>
    </row>
    <row r="10" spans="1:24" s="6" customFormat="1" ht="15" customHeight="1" hidden="1">
      <c r="A10" s="8"/>
      <c r="B10" s="121" t="s">
        <v>89</v>
      </c>
      <c r="C10" s="102">
        <v>11010100</v>
      </c>
      <c r="D10" s="103">
        <v>705817</v>
      </c>
      <c r="E10" s="103">
        <v>626314</v>
      </c>
      <c r="F10" s="140">
        <v>616670.29</v>
      </c>
      <c r="G10" s="103">
        <f aca="true" t="shared" si="9" ref="G10:G47">F10-E10</f>
        <v>-9643.709999999963</v>
      </c>
      <c r="H10" s="376">
        <f t="shared" si="0"/>
        <v>0.9846024358388924</v>
      </c>
      <c r="I10" s="104">
        <f t="shared" si="1"/>
        <v>-89146.70999999996</v>
      </c>
      <c r="J10" s="109">
        <f t="shared" si="2"/>
        <v>0.8736971339596525</v>
      </c>
      <c r="K10" s="104"/>
      <c r="L10" s="104"/>
      <c r="M10" s="104"/>
      <c r="N10" s="104">
        <v>476189.93</v>
      </c>
      <c r="O10" s="104">
        <f t="shared" si="3"/>
        <v>229627.07</v>
      </c>
      <c r="P10" s="109">
        <f t="shared" si="4"/>
        <v>1.482217400103358</v>
      </c>
      <c r="Q10" s="106">
        <v>422134.8</v>
      </c>
      <c r="R10" s="106">
        <f t="shared" si="5"/>
        <v>194535.49000000005</v>
      </c>
      <c r="S10" s="207">
        <f t="shared" si="6"/>
        <v>1.4608373675896895</v>
      </c>
      <c r="T10" s="105">
        <f>E10-жовтень!E10</f>
        <v>66764</v>
      </c>
      <c r="U10" s="144">
        <f>F10-жовтень!F10</f>
        <v>50139.17000000004</v>
      </c>
      <c r="V10" s="106">
        <f aca="true" t="shared" si="10" ref="V10:V52">U10-T10</f>
        <v>-16624.829999999958</v>
      </c>
      <c r="W10" s="109">
        <f t="shared" si="7"/>
        <v>0.7509911029896358</v>
      </c>
      <c r="X10" s="364">
        <f t="shared" si="8"/>
        <v>-0.02138003251366838</v>
      </c>
    </row>
    <row r="11" spans="1:24" s="6" customFormat="1" ht="15" customHeight="1" hidden="1">
      <c r="A11" s="8"/>
      <c r="B11" s="121" t="s">
        <v>85</v>
      </c>
      <c r="C11" s="102">
        <v>11010200</v>
      </c>
      <c r="D11" s="103">
        <v>42006</v>
      </c>
      <c r="E11" s="103">
        <v>42006</v>
      </c>
      <c r="F11" s="140">
        <v>36012.91</v>
      </c>
      <c r="G11" s="103">
        <f t="shared" si="9"/>
        <v>-5993.0899999999965</v>
      </c>
      <c r="H11" s="376">
        <f t="shared" si="0"/>
        <v>0.8573277627005667</v>
      </c>
      <c r="I11" s="104">
        <f t="shared" si="1"/>
        <v>-5993.0899999999965</v>
      </c>
      <c r="J11" s="109">
        <f t="shared" si="2"/>
        <v>0.8573277627005667</v>
      </c>
      <c r="K11" s="104"/>
      <c r="L11" s="104"/>
      <c r="M11" s="104"/>
      <c r="N11" s="104">
        <v>42401.33</v>
      </c>
      <c r="O11" s="104">
        <f t="shared" si="3"/>
        <v>-395.33000000000175</v>
      </c>
      <c r="P11" s="109">
        <f t="shared" si="4"/>
        <v>0.9906764717050148</v>
      </c>
      <c r="Q11" s="106">
        <v>36721.72</v>
      </c>
      <c r="R11" s="106">
        <f t="shared" si="5"/>
        <v>-708.8099999999977</v>
      </c>
      <c r="S11" s="207">
        <f t="shared" si="6"/>
        <v>0.9806977995584085</v>
      </c>
      <c r="T11" s="105">
        <f>E11-жовтень!E11</f>
        <v>3906</v>
      </c>
      <c r="U11" s="144">
        <f>F11-жовтень!F11</f>
        <v>2600.100000000006</v>
      </c>
      <c r="V11" s="106">
        <f t="shared" si="10"/>
        <v>-1305.8999999999942</v>
      </c>
      <c r="W11" s="109">
        <f t="shared" si="7"/>
        <v>0.6656682027649784</v>
      </c>
      <c r="X11" s="364">
        <f t="shared" si="8"/>
        <v>-0.009978672146606304</v>
      </c>
    </row>
    <row r="12" spans="1:24" s="6" customFormat="1" ht="15" customHeight="1" hidden="1">
      <c r="A12" s="8"/>
      <c r="B12" s="121" t="s">
        <v>88</v>
      </c>
      <c r="C12" s="102">
        <v>11010400</v>
      </c>
      <c r="D12" s="103">
        <v>8280</v>
      </c>
      <c r="E12" s="103">
        <v>7500</v>
      </c>
      <c r="F12" s="140">
        <v>9399.02</v>
      </c>
      <c r="G12" s="103">
        <f t="shared" si="9"/>
        <v>1899.0200000000004</v>
      </c>
      <c r="H12" s="376">
        <f t="shared" si="0"/>
        <v>1.2532026666666667</v>
      </c>
      <c r="I12" s="104">
        <f t="shared" si="1"/>
        <v>1119.0200000000004</v>
      </c>
      <c r="J12" s="109">
        <f t="shared" si="2"/>
        <v>1.135147342995169</v>
      </c>
      <c r="K12" s="104"/>
      <c r="L12" s="104"/>
      <c r="M12" s="104"/>
      <c r="N12" s="104">
        <v>10663.92</v>
      </c>
      <c r="O12" s="104">
        <f t="shared" si="3"/>
        <v>-2383.92</v>
      </c>
      <c r="P12" s="109">
        <f t="shared" si="4"/>
        <v>0.7764499358584835</v>
      </c>
      <c r="Q12" s="106">
        <v>9317.93</v>
      </c>
      <c r="R12" s="106">
        <f t="shared" si="5"/>
        <v>81.09000000000015</v>
      </c>
      <c r="S12" s="207">
        <f t="shared" si="6"/>
        <v>1.008702576645242</v>
      </c>
      <c r="T12" s="105">
        <f>E12-жовтень!E12</f>
        <v>720</v>
      </c>
      <c r="U12" s="144">
        <f>F12-жовтень!F12</f>
        <v>1116.0300000000007</v>
      </c>
      <c r="V12" s="106">
        <f t="shared" si="10"/>
        <v>396.03000000000065</v>
      </c>
      <c r="W12" s="109">
        <f t="shared" si="7"/>
        <v>1.5500416666666677</v>
      </c>
      <c r="X12" s="364">
        <f t="shared" si="8"/>
        <v>0.23225264078675845</v>
      </c>
    </row>
    <row r="13" spans="1:24" s="6" customFormat="1" ht="15" customHeight="1" hidden="1">
      <c r="A13" s="8"/>
      <c r="B13" s="121" t="s">
        <v>86</v>
      </c>
      <c r="C13" s="102">
        <v>11010500</v>
      </c>
      <c r="D13" s="103">
        <v>9390</v>
      </c>
      <c r="E13" s="103">
        <v>8790</v>
      </c>
      <c r="F13" s="140">
        <v>9616.02</v>
      </c>
      <c r="G13" s="103">
        <f t="shared" si="9"/>
        <v>826.0200000000004</v>
      </c>
      <c r="H13" s="376">
        <f t="shared" si="0"/>
        <v>1.093972696245734</v>
      </c>
      <c r="I13" s="104">
        <f t="shared" si="1"/>
        <v>226.02000000000044</v>
      </c>
      <c r="J13" s="109">
        <f t="shared" si="2"/>
        <v>1.0240702875399361</v>
      </c>
      <c r="K13" s="104"/>
      <c r="L13" s="104"/>
      <c r="M13" s="104"/>
      <c r="N13" s="104">
        <v>9532.64</v>
      </c>
      <c r="O13" s="104">
        <f t="shared" si="3"/>
        <v>-142.63999999999942</v>
      </c>
      <c r="P13" s="109">
        <f t="shared" si="4"/>
        <v>0.9850366739958711</v>
      </c>
      <c r="Q13" s="106">
        <v>8900.13</v>
      </c>
      <c r="R13" s="106">
        <f t="shared" si="5"/>
        <v>715.8900000000012</v>
      </c>
      <c r="S13" s="207">
        <f t="shared" si="6"/>
        <v>1.0804359037452262</v>
      </c>
      <c r="T13" s="105">
        <f>E13-жовтень!E13</f>
        <v>540</v>
      </c>
      <c r="U13" s="144">
        <f>F13-жовтень!F13</f>
        <v>776.1499999999996</v>
      </c>
      <c r="V13" s="106">
        <f t="shared" si="10"/>
        <v>236.14999999999964</v>
      </c>
      <c r="W13" s="109">
        <f t="shared" si="7"/>
        <v>1.437314814814814</v>
      </c>
      <c r="X13" s="364">
        <f t="shared" si="8"/>
        <v>0.09539922974935511</v>
      </c>
    </row>
    <row r="14" spans="1:24" s="6" customFormat="1" ht="15" customHeight="1" hidden="1">
      <c r="A14" s="8"/>
      <c r="B14" s="121" t="s">
        <v>87</v>
      </c>
      <c r="C14" s="102">
        <v>11010900</v>
      </c>
      <c r="D14" s="103">
        <v>1152</v>
      </c>
      <c r="E14" s="103">
        <v>1056</v>
      </c>
      <c r="F14" s="140">
        <v>1252.4</v>
      </c>
      <c r="G14" s="103">
        <f t="shared" si="9"/>
        <v>196.4000000000001</v>
      </c>
      <c r="H14" s="376">
        <f t="shared" si="0"/>
        <v>1.1859848484848485</v>
      </c>
      <c r="I14" s="104">
        <f t="shared" si="1"/>
        <v>100.40000000000009</v>
      </c>
      <c r="J14" s="109">
        <f t="shared" si="2"/>
        <v>1.0871527777777779</v>
      </c>
      <c r="K14" s="104"/>
      <c r="L14" s="104"/>
      <c r="M14" s="104"/>
      <c r="N14" s="104">
        <v>3120.73</v>
      </c>
      <c r="O14" s="104">
        <f t="shared" si="3"/>
        <v>-1968.73</v>
      </c>
      <c r="P14" s="109">
        <f t="shared" si="4"/>
        <v>0.36914439890666606</v>
      </c>
      <c r="Q14" s="106">
        <v>2968.16</v>
      </c>
      <c r="R14" s="106">
        <f t="shared" si="5"/>
        <v>-1715.7599999999998</v>
      </c>
      <c r="S14" s="207">
        <f t="shared" si="6"/>
        <v>0.42194490863026257</v>
      </c>
      <c r="T14" s="105">
        <f>E14-жовтень!E14</f>
        <v>96</v>
      </c>
      <c r="U14" s="144">
        <f>F14-жовтень!F14</f>
        <v>108.20000000000005</v>
      </c>
      <c r="V14" s="106">
        <f t="shared" si="10"/>
        <v>12.200000000000045</v>
      </c>
      <c r="W14" s="109">
        <f t="shared" si="7"/>
        <v>1.1270833333333339</v>
      </c>
      <c r="X14" s="364">
        <f t="shared" si="8"/>
        <v>0.05280050972359651</v>
      </c>
    </row>
    <row r="15" spans="1:24" s="6" customFormat="1" ht="30.75">
      <c r="A15" s="8"/>
      <c r="B15" s="131" t="s">
        <v>11</v>
      </c>
      <c r="C15" s="43">
        <v>11020200</v>
      </c>
      <c r="D15" s="150">
        <v>451</v>
      </c>
      <c r="E15" s="150">
        <v>451</v>
      </c>
      <c r="F15" s="156">
        <v>887.61</v>
      </c>
      <c r="G15" s="150">
        <f t="shared" si="9"/>
        <v>436.61</v>
      </c>
      <c r="H15" s="375">
        <f t="shared" si="0"/>
        <v>1.9680931263858092</v>
      </c>
      <c r="I15" s="158">
        <f t="shared" si="1"/>
        <v>436.61</v>
      </c>
      <c r="J15" s="158">
        <f>F15/D15*100</f>
        <v>196.80931263858093</v>
      </c>
      <c r="K15" s="158"/>
      <c r="L15" s="158"/>
      <c r="M15" s="158"/>
      <c r="N15" s="158">
        <v>459.29</v>
      </c>
      <c r="O15" s="158">
        <f t="shared" si="3"/>
        <v>-8.29000000000002</v>
      </c>
      <c r="P15" s="210">
        <f t="shared" si="4"/>
        <v>0.9819504017069824</v>
      </c>
      <c r="Q15" s="161">
        <v>408.11</v>
      </c>
      <c r="R15" s="161">
        <f t="shared" si="5"/>
        <v>479.5</v>
      </c>
      <c r="S15" s="208">
        <f t="shared" si="6"/>
        <v>2.174928328146823</v>
      </c>
      <c r="T15" s="157">
        <f>E15-жовтень!E15</f>
        <v>0</v>
      </c>
      <c r="U15" s="160">
        <f>F15-жовтень!F15</f>
        <v>507.32</v>
      </c>
      <c r="V15" s="161">
        <f t="shared" si="10"/>
        <v>507.32</v>
      </c>
      <c r="W15" s="210" t="e">
        <f t="shared" si="7"/>
        <v>#DIV/0!</v>
      </c>
      <c r="X15" s="363">
        <f t="shared" si="8"/>
        <v>1.1929779264398406</v>
      </c>
    </row>
    <row r="16" spans="1:24" s="6" customFormat="1" ht="18" customHeight="1" hidden="1">
      <c r="A16" s="8"/>
      <c r="B16" s="361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150">
        <f t="shared" si="9"/>
        <v>0</v>
      </c>
      <c r="H16" s="375" t="e">
        <f>F16/E16/100</f>
        <v>#DIV/0!</v>
      </c>
      <c r="I16" s="158">
        <f t="shared" si="1"/>
        <v>0</v>
      </c>
      <c r="J16" s="158" t="e">
        <f>F16/D16*100</f>
        <v>#DIV/0!</v>
      </c>
      <c r="K16" s="158"/>
      <c r="L16" s="158"/>
      <c r="M16" s="158"/>
      <c r="N16" s="158"/>
      <c r="O16" s="158">
        <f t="shared" si="3"/>
        <v>0</v>
      </c>
      <c r="P16" s="210" t="e">
        <f t="shared" si="4"/>
        <v>#DIV/0!</v>
      </c>
      <c r="Q16" s="106">
        <v>0</v>
      </c>
      <c r="R16" s="161">
        <f t="shared" si="5"/>
        <v>0</v>
      </c>
      <c r="S16" s="208" t="e">
        <f t="shared" si="6"/>
        <v>#DIV/0!</v>
      </c>
      <c r="T16" s="157">
        <f>E16-жовтень!E16</f>
        <v>0</v>
      </c>
      <c r="U16" s="160">
        <f>F16-жовтень!F16</f>
        <v>0</v>
      </c>
      <c r="V16" s="161">
        <f t="shared" si="10"/>
        <v>0</v>
      </c>
      <c r="W16" s="210" t="e">
        <f>U16/T16*100</f>
        <v>#DIV/0!</v>
      </c>
      <c r="X16" s="363" t="e">
        <f t="shared" si="8"/>
        <v>#DIV/0!</v>
      </c>
    </row>
    <row r="17" spans="1:24" s="6" customFormat="1" ht="30.75" customHeight="1">
      <c r="A17" s="8"/>
      <c r="B17" s="225" t="s">
        <v>116</v>
      </c>
      <c r="C17" s="120">
        <v>13010200</v>
      </c>
      <c r="D17" s="162">
        <v>0</v>
      </c>
      <c r="E17" s="162">
        <v>0</v>
      </c>
      <c r="F17" s="163">
        <v>0.49</v>
      </c>
      <c r="G17" s="150">
        <f t="shared" si="9"/>
        <v>0.49</v>
      </c>
      <c r="H17" s="375"/>
      <c r="I17" s="158">
        <f t="shared" si="1"/>
        <v>0.49</v>
      </c>
      <c r="J17" s="158"/>
      <c r="K17" s="158"/>
      <c r="L17" s="158"/>
      <c r="M17" s="158"/>
      <c r="N17" s="158">
        <v>0.17</v>
      </c>
      <c r="O17" s="158">
        <f t="shared" si="3"/>
        <v>-0.17</v>
      </c>
      <c r="P17" s="210">
        <f t="shared" si="4"/>
        <v>0</v>
      </c>
      <c r="Q17" s="167">
        <v>0.17</v>
      </c>
      <c r="R17" s="161">
        <f t="shared" si="5"/>
        <v>0.31999999999999995</v>
      </c>
      <c r="S17" s="208">
        <f t="shared" si="6"/>
        <v>2.88235294117647</v>
      </c>
      <c r="T17" s="157">
        <f>E17-жовтень!E17</f>
        <v>0</v>
      </c>
      <c r="U17" s="160">
        <f>F17-жовтень!F17</f>
        <v>0</v>
      </c>
      <c r="V17" s="161">
        <f t="shared" si="10"/>
        <v>0</v>
      </c>
      <c r="W17" s="210"/>
      <c r="X17" s="363">
        <f t="shared" si="8"/>
        <v>2.88235294117647</v>
      </c>
    </row>
    <row r="18" spans="1:24" s="6" customFormat="1" ht="30.75">
      <c r="A18" s="8"/>
      <c r="B18" s="130" t="s">
        <v>117</v>
      </c>
      <c r="C18" s="43" t="s">
        <v>58</v>
      </c>
      <c r="D18" s="150">
        <v>125</v>
      </c>
      <c r="E18" s="150">
        <v>125</v>
      </c>
      <c r="F18" s="156">
        <v>220.59</v>
      </c>
      <c r="G18" s="150">
        <f t="shared" si="9"/>
        <v>95.59</v>
      </c>
      <c r="H18" s="375">
        <f aca="true" t="shared" si="11" ref="H18:H41">F18/E18</f>
        <v>1.76472</v>
      </c>
      <c r="I18" s="158">
        <f t="shared" si="1"/>
        <v>95.59</v>
      </c>
      <c r="J18" s="158">
        <f aca="true" t="shared" si="12" ref="J18:J23">F18/D18*100</f>
        <v>176.472</v>
      </c>
      <c r="K18" s="158"/>
      <c r="L18" s="158"/>
      <c r="M18" s="158"/>
      <c r="N18" s="158">
        <v>124.7</v>
      </c>
      <c r="O18" s="158">
        <f t="shared" si="3"/>
        <v>0.29999999999999716</v>
      </c>
      <c r="P18" s="210">
        <f t="shared" si="4"/>
        <v>1.0024057738572574</v>
      </c>
      <c r="Q18" s="161">
        <v>124.7</v>
      </c>
      <c r="R18" s="161">
        <f t="shared" si="5"/>
        <v>95.89</v>
      </c>
      <c r="S18" s="208">
        <f t="shared" si="6"/>
        <v>1.7689655172413794</v>
      </c>
      <c r="T18" s="157">
        <f>E18-жовтень!E18</f>
        <v>35</v>
      </c>
      <c r="U18" s="160">
        <f>F18-жовтень!F18</f>
        <v>73.13</v>
      </c>
      <c r="V18" s="161">
        <f t="shared" si="10"/>
        <v>38.129999999999995</v>
      </c>
      <c r="W18" s="210">
        <f aca="true" t="shared" si="13" ref="W18:W25">U18/T18</f>
        <v>2.0894285714285714</v>
      </c>
      <c r="X18" s="363">
        <f t="shared" si="8"/>
        <v>0.766559743384122</v>
      </c>
    </row>
    <row r="19" spans="1:24" s="6" customFormat="1" ht="18">
      <c r="A19" s="8"/>
      <c r="B19" s="130" t="s">
        <v>172</v>
      </c>
      <c r="C19" s="43"/>
      <c r="D19" s="150">
        <f>D20+D21+D22</f>
        <v>125700</v>
      </c>
      <c r="E19" s="150">
        <f>E20+E21+E22</f>
        <v>116900</v>
      </c>
      <c r="F19" s="223">
        <v>108479.34</v>
      </c>
      <c r="G19" s="150">
        <f t="shared" si="9"/>
        <v>-8420.660000000003</v>
      </c>
      <c r="H19" s="375">
        <f t="shared" si="11"/>
        <v>0.9279669803250641</v>
      </c>
      <c r="I19" s="158">
        <f t="shared" si="1"/>
        <v>-17220.660000000003</v>
      </c>
      <c r="J19" s="158">
        <f t="shared" si="12"/>
        <v>86.3001909307876</v>
      </c>
      <c r="K19" s="158"/>
      <c r="L19" s="158"/>
      <c r="M19" s="158"/>
      <c r="N19" s="158">
        <v>101799.72</v>
      </c>
      <c r="O19" s="158">
        <f t="shared" si="3"/>
        <v>23900.28</v>
      </c>
      <c r="P19" s="210">
        <f t="shared" si="4"/>
        <v>1.234777463042138</v>
      </c>
      <c r="Q19" s="161">
        <v>92791.79</v>
      </c>
      <c r="R19" s="161">
        <f t="shared" si="5"/>
        <v>15687.550000000003</v>
      </c>
      <c r="S19" s="208">
        <f t="shared" si="6"/>
        <v>1.169061831871117</v>
      </c>
      <c r="T19" s="157">
        <f>E19-жовтень!E19</f>
        <v>10100</v>
      </c>
      <c r="U19" s="160">
        <f>F19-жовтень!F19</f>
        <v>8270.729999999996</v>
      </c>
      <c r="V19" s="161">
        <f t="shared" si="10"/>
        <v>-1829.270000000004</v>
      </c>
      <c r="W19" s="210">
        <f t="shared" si="13"/>
        <v>0.8188841584158412</v>
      </c>
      <c r="X19" s="363">
        <f t="shared" si="8"/>
        <v>-0.06571563117102097</v>
      </c>
    </row>
    <row r="20" spans="1:24" s="6" customFormat="1" ht="61.5">
      <c r="A20" s="8"/>
      <c r="B20" s="252" t="s">
        <v>205</v>
      </c>
      <c r="C20" s="123">
        <v>14040000</v>
      </c>
      <c r="D20" s="253">
        <v>63400</v>
      </c>
      <c r="E20" s="253">
        <v>63400</v>
      </c>
      <c r="F20" s="201">
        <v>54509.33</v>
      </c>
      <c r="G20" s="253">
        <f t="shared" si="9"/>
        <v>-8890.669999999998</v>
      </c>
      <c r="H20" s="378">
        <f t="shared" si="11"/>
        <v>0.8597686119873817</v>
      </c>
      <c r="I20" s="254">
        <f t="shared" si="1"/>
        <v>-8890.669999999998</v>
      </c>
      <c r="J20" s="254">
        <f t="shared" si="12"/>
        <v>85.97686119873818</v>
      </c>
      <c r="K20" s="254"/>
      <c r="L20" s="254"/>
      <c r="M20" s="254"/>
      <c r="N20" s="254">
        <v>101799.72</v>
      </c>
      <c r="O20" s="254">
        <f t="shared" si="3"/>
        <v>-38399.72</v>
      </c>
      <c r="P20" s="305">
        <f t="shared" si="4"/>
        <v>0.6227914968724865</v>
      </c>
      <c r="Q20" s="166">
        <v>92791.79</v>
      </c>
      <c r="R20" s="166">
        <f t="shared" si="5"/>
        <v>-38282.45999999999</v>
      </c>
      <c r="S20" s="256">
        <f t="shared" si="6"/>
        <v>0.5874369920011243</v>
      </c>
      <c r="T20" s="195">
        <f>E20-жовтень!E20</f>
        <v>100</v>
      </c>
      <c r="U20" s="179">
        <f>F20-жовтень!F20</f>
        <v>2584.8300000000017</v>
      </c>
      <c r="V20" s="166">
        <f t="shared" si="10"/>
        <v>2484.8300000000017</v>
      </c>
      <c r="W20" s="305">
        <f t="shared" si="13"/>
        <v>25.848300000000016</v>
      </c>
      <c r="X20" s="363">
        <f t="shared" si="8"/>
        <v>-0.03535450487136216</v>
      </c>
    </row>
    <row r="21" spans="1:24" s="6" customFormat="1" ht="18">
      <c r="A21" s="8"/>
      <c r="B21" s="252" t="s">
        <v>170</v>
      </c>
      <c r="C21" s="123">
        <v>14021900</v>
      </c>
      <c r="D21" s="253">
        <v>12200</v>
      </c>
      <c r="E21" s="253">
        <v>11200</v>
      </c>
      <c r="F21" s="201">
        <v>10636.33</v>
      </c>
      <c r="G21" s="253">
        <f t="shared" si="9"/>
        <v>-563.6700000000001</v>
      </c>
      <c r="H21" s="378">
        <f t="shared" si="11"/>
        <v>0.9496723214285714</v>
      </c>
      <c r="I21" s="254">
        <f t="shared" si="1"/>
        <v>-1563.67</v>
      </c>
      <c r="J21" s="254">
        <f t="shared" si="12"/>
        <v>87.18303278688525</v>
      </c>
      <c r="K21" s="254"/>
      <c r="L21" s="254"/>
      <c r="M21" s="254"/>
      <c r="N21" s="254"/>
      <c r="O21" s="254"/>
      <c r="P21" s="305"/>
      <c r="Q21" s="255">
        <v>0</v>
      </c>
      <c r="R21" s="166">
        <f t="shared" si="5"/>
        <v>10636.33</v>
      </c>
      <c r="S21" s="256"/>
      <c r="T21" s="195">
        <f>E21-жовтень!E21</f>
        <v>2500</v>
      </c>
      <c r="U21" s="179">
        <f>F21-жовтень!F21</f>
        <v>624.1700000000001</v>
      </c>
      <c r="V21" s="166">
        <f t="shared" si="10"/>
        <v>-1875.83</v>
      </c>
      <c r="W21" s="305">
        <f t="shared" si="13"/>
        <v>0.24966800000000003</v>
      </c>
      <c r="X21" s="363">
        <f t="shared" si="8"/>
        <v>0</v>
      </c>
    </row>
    <row r="22" spans="1:24" s="6" customFormat="1" ht="18">
      <c r="A22" s="8"/>
      <c r="B22" s="252" t="s">
        <v>171</v>
      </c>
      <c r="C22" s="123">
        <v>14031900</v>
      </c>
      <c r="D22" s="253">
        <v>50100</v>
      </c>
      <c r="E22" s="253">
        <v>42300</v>
      </c>
      <c r="F22" s="201">
        <v>43333.68</v>
      </c>
      <c r="G22" s="253">
        <f t="shared" si="9"/>
        <v>1033.6800000000003</v>
      </c>
      <c r="H22" s="378">
        <f t="shared" si="11"/>
        <v>1.0244368794326242</v>
      </c>
      <c r="I22" s="254">
        <f t="shared" si="1"/>
        <v>-6766.32</v>
      </c>
      <c r="J22" s="254">
        <f t="shared" si="12"/>
        <v>86.49437125748503</v>
      </c>
      <c r="K22" s="254"/>
      <c r="L22" s="254"/>
      <c r="M22" s="254"/>
      <c r="N22" s="254"/>
      <c r="O22" s="254"/>
      <c r="P22" s="305"/>
      <c r="Q22" s="255">
        <v>0</v>
      </c>
      <c r="R22" s="166">
        <f t="shared" si="5"/>
        <v>43333.68</v>
      </c>
      <c r="S22" s="256"/>
      <c r="T22" s="195">
        <f>E22-жовтень!E22</f>
        <v>7500</v>
      </c>
      <c r="U22" s="179">
        <f>F22-жовтень!F22</f>
        <v>5061.730000000003</v>
      </c>
      <c r="V22" s="166">
        <f t="shared" si="10"/>
        <v>-2438.269999999997</v>
      </c>
      <c r="W22" s="305">
        <f t="shared" si="13"/>
        <v>0.6748973333333338</v>
      </c>
      <c r="X22" s="363">
        <f t="shared" si="8"/>
        <v>0</v>
      </c>
    </row>
    <row r="23" spans="1:24" s="6" customFormat="1" ht="18">
      <c r="A23" s="8"/>
      <c r="B23" s="362" t="s">
        <v>73</v>
      </c>
      <c r="C23" s="43">
        <v>18000000</v>
      </c>
      <c r="D23" s="150">
        <f>D24+D43+D47+D42</f>
        <v>401260.1</v>
      </c>
      <c r="E23" s="150">
        <f>E24+E43+E47+E42</f>
        <v>379423.6</v>
      </c>
      <c r="F23" s="223">
        <v>399116.37</v>
      </c>
      <c r="G23" s="150">
        <f t="shared" si="9"/>
        <v>19692.77000000002</v>
      </c>
      <c r="H23" s="375">
        <f t="shared" si="11"/>
        <v>1.0519018057917326</v>
      </c>
      <c r="I23" s="158">
        <f t="shared" si="1"/>
        <v>-2143.7299999999814</v>
      </c>
      <c r="J23" s="158">
        <f t="shared" si="12"/>
        <v>99.46575051942618</v>
      </c>
      <c r="K23" s="158"/>
      <c r="L23" s="158"/>
      <c r="M23" s="158"/>
      <c r="N23" s="158">
        <v>340503.51</v>
      </c>
      <c r="O23" s="158">
        <f aca="true" t="shared" si="14" ref="O23:O51">D23-N23</f>
        <v>60756.58999999997</v>
      </c>
      <c r="P23" s="210">
        <f aca="true" t="shared" si="15" ref="P23:P51">D23/N23</f>
        <v>1.1784316114685571</v>
      </c>
      <c r="Q23" s="158">
        <v>317230.96</v>
      </c>
      <c r="R23" s="161">
        <f t="shared" si="5"/>
        <v>81885.40999999997</v>
      </c>
      <c r="S23" s="209">
        <f aca="true" t="shared" si="16" ref="S23:S41">F23/Q23</f>
        <v>1.2581255310011354</v>
      </c>
      <c r="T23" s="157">
        <f>E23-жовтень!E23</f>
        <v>35860</v>
      </c>
      <c r="U23" s="160">
        <f>F23-жовтень!F23</f>
        <v>42240.07000000001</v>
      </c>
      <c r="V23" s="161">
        <f t="shared" si="10"/>
        <v>6380.070000000007</v>
      </c>
      <c r="W23" s="210">
        <f t="shared" si="13"/>
        <v>1.1779160624651424</v>
      </c>
      <c r="X23" s="363">
        <f>S23-P23</f>
        <v>0.07969391953257832</v>
      </c>
    </row>
    <row r="24" spans="1:24" s="6" customFormat="1" ht="18">
      <c r="A24" s="8"/>
      <c r="B24" s="44" t="s">
        <v>81</v>
      </c>
      <c r="C24" s="114">
        <v>18010000</v>
      </c>
      <c r="D24" s="150">
        <f>D25+D32+D35</f>
        <v>206751</v>
      </c>
      <c r="E24" s="150">
        <f>E25+E32+E35</f>
        <v>191561.1</v>
      </c>
      <c r="F24" s="223">
        <f>F25+F32+F35</f>
        <v>186742.12</v>
      </c>
      <c r="G24" s="150">
        <f t="shared" si="9"/>
        <v>-4818.9800000000105</v>
      </c>
      <c r="H24" s="375">
        <f t="shared" si="11"/>
        <v>0.9748436399665693</v>
      </c>
      <c r="I24" s="158">
        <f t="shared" si="1"/>
        <v>-20008.880000000005</v>
      </c>
      <c r="J24" s="210">
        <f aca="true" t="shared" si="17" ref="J24:J41">F24/D24</f>
        <v>0.903222330242659</v>
      </c>
      <c r="K24" s="158"/>
      <c r="L24" s="158"/>
      <c r="M24" s="158"/>
      <c r="N24" s="158">
        <v>182295.05</v>
      </c>
      <c r="O24" s="158">
        <f t="shared" si="14"/>
        <v>24455.95000000001</v>
      </c>
      <c r="P24" s="210">
        <f t="shared" si="15"/>
        <v>1.134155864352872</v>
      </c>
      <c r="Q24" s="158">
        <v>167260.1</v>
      </c>
      <c r="R24" s="161">
        <f t="shared" si="5"/>
        <v>19482.01999999999</v>
      </c>
      <c r="S24" s="209">
        <f t="shared" si="16"/>
        <v>1.1164773906030188</v>
      </c>
      <c r="T24" s="157">
        <f>E24-жовтень!E24</f>
        <v>17145</v>
      </c>
      <c r="U24" s="160">
        <f>F24-жовтень!F24</f>
        <v>10815.430000000022</v>
      </c>
      <c r="V24" s="161">
        <f t="shared" si="10"/>
        <v>-6329.569999999978</v>
      </c>
      <c r="W24" s="210">
        <f t="shared" si="13"/>
        <v>0.6308212306794997</v>
      </c>
      <c r="X24" s="363">
        <f aca="true" t="shared" si="18" ref="X24:X99">S24-P24</f>
        <v>-0.017678473749853207</v>
      </c>
    </row>
    <row r="25" spans="1:25" s="6" customFormat="1" ht="18">
      <c r="A25" s="8"/>
      <c r="B25" s="50" t="s">
        <v>74</v>
      </c>
      <c r="C25" s="123"/>
      <c r="D25" s="253">
        <v>22809</v>
      </c>
      <c r="E25" s="368">
        <v>22264.1</v>
      </c>
      <c r="F25" s="201">
        <v>24127.72</v>
      </c>
      <c r="G25" s="253">
        <f t="shared" si="9"/>
        <v>1863.6200000000026</v>
      </c>
      <c r="H25" s="378">
        <f t="shared" si="11"/>
        <v>1.0837051576304455</v>
      </c>
      <c r="I25" s="254">
        <f t="shared" si="1"/>
        <v>1318.7200000000012</v>
      </c>
      <c r="J25" s="305">
        <f t="shared" si="17"/>
        <v>1.057815774474988</v>
      </c>
      <c r="K25" s="254"/>
      <c r="L25" s="254"/>
      <c r="M25" s="254"/>
      <c r="N25" s="254">
        <v>21482.16</v>
      </c>
      <c r="O25" s="254">
        <f t="shared" si="14"/>
        <v>1326.8400000000001</v>
      </c>
      <c r="P25" s="305">
        <f t="shared" si="15"/>
        <v>1.0617647387413556</v>
      </c>
      <c r="Q25" s="304">
        <v>20736.16</v>
      </c>
      <c r="R25" s="166">
        <f t="shared" si="5"/>
        <v>3391.5600000000013</v>
      </c>
      <c r="S25" s="215">
        <f t="shared" si="16"/>
        <v>1.1635577657579803</v>
      </c>
      <c r="T25" s="195">
        <f>E25-жовтень!E25</f>
        <v>405</v>
      </c>
      <c r="U25" s="179">
        <f>F25-жовтень!F25</f>
        <v>528.5300000000025</v>
      </c>
      <c r="V25" s="166">
        <f t="shared" si="10"/>
        <v>123.53000000000247</v>
      </c>
      <c r="W25" s="305">
        <f t="shared" si="13"/>
        <v>1.3050123456790184</v>
      </c>
      <c r="X25" s="363">
        <f t="shared" si="18"/>
        <v>0.10179302701662474</v>
      </c>
      <c r="Y25" s="147"/>
    </row>
    <row r="26" spans="1:25" s="6" customFormat="1" ht="18" customHeight="1" hidden="1">
      <c r="A26" s="8"/>
      <c r="B26" s="196" t="s">
        <v>109</v>
      </c>
      <c r="C26" s="197"/>
      <c r="D26" s="199">
        <f>D28+D29</f>
        <v>1822.3</v>
      </c>
      <c r="E26" s="199">
        <f>E28+E29</f>
        <v>1767.3</v>
      </c>
      <c r="F26" s="199">
        <f>F28+F29</f>
        <v>1394.47</v>
      </c>
      <c r="G26" s="223">
        <f t="shared" si="9"/>
        <v>-372.8299999999999</v>
      </c>
      <c r="H26" s="379">
        <f t="shared" si="11"/>
        <v>0.7890397781927234</v>
      </c>
      <c r="I26" s="299">
        <f t="shared" si="1"/>
        <v>-427.8299999999999</v>
      </c>
      <c r="J26" s="341">
        <f t="shared" si="17"/>
        <v>0.765225264775284</v>
      </c>
      <c r="K26" s="299"/>
      <c r="L26" s="299"/>
      <c r="M26" s="299"/>
      <c r="N26" s="299">
        <v>842.7</v>
      </c>
      <c r="O26" s="299">
        <f t="shared" si="14"/>
        <v>979.5999999999999</v>
      </c>
      <c r="P26" s="341">
        <f t="shared" si="15"/>
        <v>2.162454016850599</v>
      </c>
      <c r="Q26" s="200">
        <v>815.85</v>
      </c>
      <c r="R26" s="367">
        <f t="shared" si="5"/>
        <v>578.62</v>
      </c>
      <c r="S26" s="228">
        <f t="shared" si="16"/>
        <v>1.7092235092235093</v>
      </c>
      <c r="T26" s="237">
        <f>E26-жовтень!E26</f>
        <v>55</v>
      </c>
      <c r="U26" s="237">
        <f>F26-жовтень!F26</f>
        <v>142.1500000000001</v>
      </c>
      <c r="V26" s="299">
        <f t="shared" si="10"/>
        <v>87.15000000000009</v>
      </c>
      <c r="W26" s="341">
        <f>U26/T26*100</f>
        <v>258.4545454545456</v>
      </c>
      <c r="X26" s="363">
        <f t="shared" si="18"/>
        <v>-0.4532305076270897</v>
      </c>
      <c r="Y26" s="147"/>
    </row>
    <row r="27" spans="1:25" s="6" customFormat="1" ht="18" customHeight="1" hidden="1">
      <c r="A27" s="8"/>
      <c r="B27" s="196" t="s">
        <v>110</v>
      </c>
      <c r="C27" s="197"/>
      <c r="D27" s="199">
        <f>D30+D31</f>
        <v>20986.699999999997</v>
      </c>
      <c r="E27" s="199">
        <f>E30+E31</f>
        <v>20496.8</v>
      </c>
      <c r="F27" s="199">
        <f>F30+F31</f>
        <v>22733.24</v>
      </c>
      <c r="G27" s="223">
        <f t="shared" si="9"/>
        <v>2236.4400000000023</v>
      </c>
      <c r="H27" s="379">
        <f t="shared" si="11"/>
        <v>1.1091116662113112</v>
      </c>
      <c r="I27" s="299">
        <f t="shared" si="1"/>
        <v>1746.5400000000045</v>
      </c>
      <c r="J27" s="341">
        <f t="shared" si="17"/>
        <v>1.0832212782381225</v>
      </c>
      <c r="K27" s="299"/>
      <c r="L27" s="299"/>
      <c r="M27" s="299"/>
      <c r="N27" s="299">
        <v>20639.46</v>
      </c>
      <c r="O27" s="299">
        <f t="shared" si="14"/>
        <v>347.23999999999796</v>
      </c>
      <c r="P27" s="341">
        <f t="shared" si="15"/>
        <v>1.01682408357583</v>
      </c>
      <c r="Q27" s="200">
        <v>19919.31</v>
      </c>
      <c r="R27" s="367">
        <f t="shared" si="5"/>
        <v>2813.9300000000003</v>
      </c>
      <c r="S27" s="228">
        <f t="shared" si="16"/>
        <v>1.141266439449961</v>
      </c>
      <c r="T27" s="237">
        <f>E27-жовтень!E27</f>
        <v>350</v>
      </c>
      <c r="U27" s="237">
        <f>F27-жовтень!F27</f>
        <v>386.3600000000006</v>
      </c>
      <c r="V27" s="299">
        <f t="shared" si="10"/>
        <v>36.36000000000058</v>
      </c>
      <c r="W27" s="341">
        <f>U27/T27*100</f>
        <v>110.3885714285716</v>
      </c>
      <c r="X27" s="363">
        <f t="shared" si="18"/>
        <v>0.124442355874131</v>
      </c>
      <c r="Y27" s="147"/>
    </row>
    <row r="28" spans="1:24" s="6" customFormat="1" ht="18" customHeight="1" hidden="1">
      <c r="A28" s="8"/>
      <c r="B28" s="372" t="s">
        <v>269</v>
      </c>
      <c r="C28" s="197">
        <v>18010100</v>
      </c>
      <c r="D28" s="385">
        <v>922.3</v>
      </c>
      <c r="E28" s="386">
        <v>917.3</v>
      </c>
      <c r="F28" s="373">
        <v>260.75</v>
      </c>
      <c r="G28" s="385">
        <f t="shared" si="9"/>
        <v>-656.55</v>
      </c>
      <c r="H28" s="387">
        <f t="shared" si="11"/>
        <v>0.2842581489152949</v>
      </c>
      <c r="I28" s="388">
        <f t="shared" si="1"/>
        <v>-661.55</v>
      </c>
      <c r="J28" s="389">
        <f t="shared" si="17"/>
        <v>0.2827171202428711</v>
      </c>
      <c r="K28" s="299"/>
      <c r="L28" s="299"/>
      <c r="M28" s="299"/>
      <c r="N28" s="388">
        <v>395.2</v>
      </c>
      <c r="O28" s="388">
        <f t="shared" si="14"/>
        <v>527.0999999999999</v>
      </c>
      <c r="P28" s="389">
        <f t="shared" si="15"/>
        <v>2.3337550607287447</v>
      </c>
      <c r="Q28" s="388">
        <v>388.94</v>
      </c>
      <c r="R28" s="388">
        <f t="shared" si="5"/>
        <v>-128.19</v>
      </c>
      <c r="S28" s="389">
        <f t="shared" si="16"/>
        <v>0.6704118887231963</v>
      </c>
      <c r="T28" s="373"/>
      <c r="U28" s="373"/>
      <c r="V28" s="388"/>
      <c r="W28" s="389"/>
      <c r="X28" s="363"/>
    </row>
    <row r="29" spans="1:24" s="6" customFormat="1" ht="18" customHeight="1" hidden="1">
      <c r="A29" s="8"/>
      <c r="B29" s="372" t="s">
        <v>267</v>
      </c>
      <c r="C29" s="197">
        <v>18010200</v>
      </c>
      <c r="D29" s="385">
        <v>900</v>
      </c>
      <c r="E29" s="386">
        <v>850</v>
      </c>
      <c r="F29" s="373">
        <v>1133.72</v>
      </c>
      <c r="G29" s="385">
        <f t="shared" si="9"/>
        <v>283.72</v>
      </c>
      <c r="H29" s="387">
        <f t="shared" si="11"/>
        <v>1.3337882352941177</v>
      </c>
      <c r="I29" s="388">
        <f t="shared" si="1"/>
        <v>233.72000000000003</v>
      </c>
      <c r="J29" s="389">
        <f t="shared" si="17"/>
        <v>1.2596888888888889</v>
      </c>
      <c r="K29" s="299"/>
      <c r="L29" s="299"/>
      <c r="M29" s="299"/>
      <c r="N29" s="388">
        <v>447.5</v>
      </c>
      <c r="O29" s="388">
        <f t="shared" si="14"/>
        <v>452.5</v>
      </c>
      <c r="P29" s="389">
        <f t="shared" si="15"/>
        <v>2.011173184357542</v>
      </c>
      <c r="Q29" s="388">
        <v>427.91</v>
      </c>
      <c r="R29" s="388">
        <f t="shared" si="5"/>
        <v>705.81</v>
      </c>
      <c r="S29" s="389">
        <f t="shared" si="16"/>
        <v>2.649435628987404</v>
      </c>
      <c r="T29" s="373"/>
      <c r="U29" s="373"/>
      <c r="V29" s="388"/>
      <c r="W29" s="389"/>
      <c r="X29" s="363"/>
    </row>
    <row r="30" spans="1:24" s="6" customFormat="1" ht="18" customHeight="1" hidden="1">
      <c r="A30" s="8"/>
      <c r="B30" s="372" t="s">
        <v>268</v>
      </c>
      <c r="C30" s="197">
        <v>18010300</v>
      </c>
      <c r="D30" s="385">
        <v>2019.1</v>
      </c>
      <c r="E30" s="386">
        <v>2019.1</v>
      </c>
      <c r="F30" s="373">
        <v>2090.09</v>
      </c>
      <c r="G30" s="385">
        <f t="shared" si="9"/>
        <v>70.99000000000024</v>
      </c>
      <c r="H30" s="387">
        <f t="shared" si="11"/>
        <v>1.0351592293596157</v>
      </c>
      <c r="I30" s="388">
        <f t="shared" si="1"/>
        <v>70.99000000000024</v>
      </c>
      <c r="J30" s="389">
        <f t="shared" si="17"/>
        <v>1.0351592293596157</v>
      </c>
      <c r="K30" s="299"/>
      <c r="L30" s="299"/>
      <c r="M30" s="299"/>
      <c r="N30" s="388">
        <v>1968.01</v>
      </c>
      <c r="O30" s="388">
        <f t="shared" si="14"/>
        <v>51.08999999999992</v>
      </c>
      <c r="P30" s="389">
        <f t="shared" si="15"/>
        <v>1.0259602339419007</v>
      </c>
      <c r="Q30" s="388">
        <v>1918.92</v>
      </c>
      <c r="R30" s="388">
        <f t="shared" si="5"/>
        <v>171.17000000000007</v>
      </c>
      <c r="S30" s="389">
        <f t="shared" si="16"/>
        <v>1.089201217351427</v>
      </c>
      <c r="T30" s="373"/>
      <c r="U30" s="373"/>
      <c r="V30" s="388"/>
      <c r="W30" s="389"/>
      <c r="X30" s="363"/>
    </row>
    <row r="31" spans="1:24" s="6" customFormat="1" ht="18" customHeight="1" hidden="1">
      <c r="A31" s="8"/>
      <c r="B31" s="372" t="s">
        <v>270</v>
      </c>
      <c r="C31" s="197">
        <v>18010400</v>
      </c>
      <c r="D31" s="385">
        <v>18967.6</v>
      </c>
      <c r="E31" s="386">
        <v>18477.7</v>
      </c>
      <c r="F31" s="373">
        <v>20643.15</v>
      </c>
      <c r="G31" s="385">
        <f t="shared" si="9"/>
        <v>2165.4500000000007</v>
      </c>
      <c r="H31" s="387">
        <f t="shared" si="11"/>
        <v>1.1171926159641081</v>
      </c>
      <c r="I31" s="388">
        <f t="shared" si="1"/>
        <v>1675.550000000003</v>
      </c>
      <c r="J31" s="389">
        <f t="shared" si="17"/>
        <v>1.0883374807566588</v>
      </c>
      <c r="K31" s="299"/>
      <c r="L31" s="299"/>
      <c r="M31" s="299"/>
      <c r="N31" s="388">
        <v>18671.45</v>
      </c>
      <c r="O31" s="388">
        <f t="shared" si="14"/>
        <v>296.1499999999978</v>
      </c>
      <c r="P31" s="389">
        <f t="shared" si="15"/>
        <v>1.0158611141609246</v>
      </c>
      <c r="Q31" s="388">
        <v>18000.38</v>
      </c>
      <c r="R31" s="388">
        <f t="shared" si="5"/>
        <v>2642.7700000000004</v>
      </c>
      <c r="S31" s="389">
        <f t="shared" si="16"/>
        <v>1.1468174560759272</v>
      </c>
      <c r="T31" s="373"/>
      <c r="U31" s="373"/>
      <c r="V31" s="388"/>
      <c r="W31" s="389"/>
      <c r="X31" s="363"/>
    </row>
    <row r="32" spans="1:24" s="6" customFormat="1" ht="18">
      <c r="A32" s="8"/>
      <c r="B32" s="50" t="s">
        <v>75</v>
      </c>
      <c r="C32" s="123"/>
      <c r="D32" s="171">
        <v>650</v>
      </c>
      <c r="E32" s="369">
        <v>645</v>
      </c>
      <c r="F32" s="172">
        <v>250.9</v>
      </c>
      <c r="G32" s="253">
        <f t="shared" si="9"/>
        <v>-394.1</v>
      </c>
      <c r="H32" s="378">
        <f t="shared" si="11"/>
        <v>0.3889922480620155</v>
      </c>
      <c r="I32" s="254">
        <f t="shared" si="1"/>
        <v>-399.1</v>
      </c>
      <c r="J32" s="305">
        <f t="shared" si="17"/>
        <v>0.386</v>
      </c>
      <c r="K32" s="254"/>
      <c r="L32" s="254"/>
      <c r="M32" s="254"/>
      <c r="N32" s="254">
        <v>701.85</v>
      </c>
      <c r="O32" s="254">
        <f t="shared" si="14"/>
        <v>-51.85000000000002</v>
      </c>
      <c r="P32" s="305">
        <f t="shared" si="15"/>
        <v>0.9261238156301204</v>
      </c>
      <c r="Q32" s="174">
        <v>787.37</v>
      </c>
      <c r="R32" s="174">
        <f t="shared" si="5"/>
        <v>-536.47</v>
      </c>
      <c r="S32" s="212">
        <f t="shared" si="16"/>
        <v>0.3186557780967017</v>
      </c>
      <c r="T32" s="195">
        <f>E32-жовтень!E28</f>
        <v>5</v>
      </c>
      <c r="U32" s="179">
        <f>F32-жовтень!F28</f>
        <v>-1.7699999999999818</v>
      </c>
      <c r="V32" s="166">
        <f t="shared" si="10"/>
        <v>-6.769999999999982</v>
      </c>
      <c r="W32" s="305">
        <f>U32/T32</f>
        <v>-0.3539999999999964</v>
      </c>
      <c r="X32" s="364">
        <f t="shared" si="18"/>
        <v>-0.6074680375334187</v>
      </c>
    </row>
    <row r="33" spans="1:24" s="6" customFormat="1" ht="15" hidden="1">
      <c r="A33" s="8"/>
      <c r="B33" s="50" t="s">
        <v>271</v>
      </c>
      <c r="C33" s="123">
        <v>18011000</v>
      </c>
      <c r="D33" s="103">
        <v>350</v>
      </c>
      <c r="E33" s="390">
        <v>350</v>
      </c>
      <c r="F33" s="140">
        <v>-134.78</v>
      </c>
      <c r="G33" s="103">
        <f t="shared" si="9"/>
        <v>-484.78</v>
      </c>
      <c r="H33" s="376">
        <f t="shared" si="11"/>
        <v>-0.3850857142857143</v>
      </c>
      <c r="I33" s="104">
        <f t="shared" si="1"/>
        <v>-484.78</v>
      </c>
      <c r="J33" s="109">
        <f t="shared" si="17"/>
        <v>-0.3850857142857143</v>
      </c>
      <c r="K33" s="104"/>
      <c r="L33" s="104"/>
      <c r="M33" s="104"/>
      <c r="N33" s="104">
        <v>350.41</v>
      </c>
      <c r="O33" s="104">
        <f t="shared" si="14"/>
        <v>-0.410000000000025</v>
      </c>
      <c r="P33" s="109">
        <f t="shared" si="15"/>
        <v>0.9988299420678632</v>
      </c>
      <c r="Q33" s="104">
        <v>465.52</v>
      </c>
      <c r="R33" s="104">
        <f t="shared" si="5"/>
        <v>-600.3</v>
      </c>
      <c r="S33" s="109">
        <f t="shared" si="16"/>
        <v>-0.28952569169960474</v>
      </c>
      <c r="T33" s="105"/>
      <c r="U33" s="144"/>
      <c r="V33" s="106"/>
      <c r="W33" s="109"/>
      <c r="X33" s="364"/>
    </row>
    <row r="34" spans="1:24" s="6" customFormat="1" ht="15" hidden="1">
      <c r="A34" s="8"/>
      <c r="B34" s="50" t="s">
        <v>272</v>
      </c>
      <c r="C34" s="123">
        <v>18011100</v>
      </c>
      <c r="D34" s="103">
        <v>300</v>
      </c>
      <c r="E34" s="390">
        <v>295</v>
      </c>
      <c r="F34" s="140">
        <v>385.68</v>
      </c>
      <c r="G34" s="103">
        <f t="shared" si="9"/>
        <v>90.68</v>
      </c>
      <c r="H34" s="376">
        <f t="shared" si="11"/>
        <v>1.3073898305084746</v>
      </c>
      <c r="I34" s="104">
        <f t="shared" si="1"/>
        <v>85.68</v>
      </c>
      <c r="J34" s="109">
        <f t="shared" si="17"/>
        <v>1.2856</v>
      </c>
      <c r="K34" s="104"/>
      <c r="L34" s="104"/>
      <c r="M34" s="104"/>
      <c r="N34" s="104">
        <v>351.44</v>
      </c>
      <c r="O34" s="104">
        <f t="shared" si="14"/>
        <v>-51.44</v>
      </c>
      <c r="P34" s="109">
        <f t="shared" si="15"/>
        <v>0.8536307762349192</v>
      </c>
      <c r="Q34" s="104">
        <v>321.84</v>
      </c>
      <c r="R34" s="104">
        <f t="shared" si="5"/>
        <v>63.84000000000003</v>
      </c>
      <c r="S34" s="109">
        <f t="shared" si="16"/>
        <v>1.1983594332587622</v>
      </c>
      <c r="T34" s="105"/>
      <c r="U34" s="144"/>
      <c r="V34" s="106"/>
      <c r="W34" s="109"/>
      <c r="X34" s="364"/>
    </row>
    <row r="35" spans="1:24" s="6" customFormat="1" ht="18">
      <c r="A35" s="8"/>
      <c r="B35" s="50" t="s">
        <v>76</v>
      </c>
      <c r="C35" s="123"/>
      <c r="D35" s="171">
        <v>183292</v>
      </c>
      <c r="E35" s="369">
        <v>168652</v>
      </c>
      <c r="F35" s="172">
        <v>162363.5</v>
      </c>
      <c r="G35" s="150">
        <f t="shared" si="9"/>
        <v>-6288.5</v>
      </c>
      <c r="H35" s="378">
        <f t="shared" si="11"/>
        <v>0.9627131608282143</v>
      </c>
      <c r="I35" s="254">
        <f t="shared" si="1"/>
        <v>-20928.5</v>
      </c>
      <c r="J35" s="305">
        <f t="shared" si="17"/>
        <v>0.8858188027846278</v>
      </c>
      <c r="K35" s="254"/>
      <c r="L35" s="254"/>
      <c r="M35" s="254"/>
      <c r="N35" s="254">
        <v>160111.04</v>
      </c>
      <c r="O35" s="254">
        <f t="shared" si="14"/>
        <v>23180.959999999992</v>
      </c>
      <c r="P35" s="305">
        <f t="shared" si="15"/>
        <v>1.1447805223175116</v>
      </c>
      <c r="Q35" s="175">
        <v>145736.57</v>
      </c>
      <c r="R35" s="175">
        <f t="shared" si="5"/>
        <v>16626.929999999993</v>
      </c>
      <c r="S35" s="211">
        <f t="shared" si="16"/>
        <v>1.1140889345755838</v>
      </c>
      <c r="T35" s="195">
        <f>E35-жовтень!E29</f>
        <v>16735</v>
      </c>
      <c r="U35" s="179">
        <f>F35-жовтень!F29</f>
        <v>10288.670000000013</v>
      </c>
      <c r="V35" s="166">
        <f t="shared" si="10"/>
        <v>-6446.329999999987</v>
      </c>
      <c r="W35" s="305">
        <f>U35/T35</f>
        <v>0.6147995219599649</v>
      </c>
      <c r="X35" s="364">
        <f t="shared" si="18"/>
        <v>-0.030691587741927817</v>
      </c>
    </row>
    <row r="36" spans="1:24" s="6" customFormat="1" ht="18" customHeight="1" hidden="1">
      <c r="A36" s="8"/>
      <c r="B36" s="196" t="s">
        <v>111</v>
      </c>
      <c r="C36" s="197"/>
      <c r="D36" s="199">
        <f aca="true" t="shared" si="19" ref="D36:F37">D38+D40</f>
        <v>58533</v>
      </c>
      <c r="E36" s="199">
        <f t="shared" si="19"/>
        <v>53733</v>
      </c>
      <c r="F36" s="199">
        <f t="shared" si="19"/>
        <v>53029.85</v>
      </c>
      <c r="G36" s="223">
        <f t="shared" si="9"/>
        <v>-703.1500000000015</v>
      </c>
      <c r="H36" s="379">
        <f t="shared" si="11"/>
        <v>0.9869140007072004</v>
      </c>
      <c r="I36" s="299">
        <f t="shared" si="1"/>
        <v>-5503.1500000000015</v>
      </c>
      <c r="J36" s="341">
        <f t="shared" si="17"/>
        <v>0.9059820955700203</v>
      </c>
      <c r="K36" s="299"/>
      <c r="L36" s="299"/>
      <c r="M36" s="299"/>
      <c r="N36" s="299">
        <v>49911.97</v>
      </c>
      <c r="O36" s="299">
        <f t="shared" si="14"/>
        <v>8621.029999999999</v>
      </c>
      <c r="P36" s="341">
        <f t="shared" si="15"/>
        <v>1.1727246991052447</v>
      </c>
      <c r="Q36" s="200">
        <v>46002.62</v>
      </c>
      <c r="R36" s="200">
        <f t="shared" si="5"/>
        <v>7027.229999999996</v>
      </c>
      <c r="S36" s="228">
        <f t="shared" si="16"/>
        <v>1.1527571690481977</v>
      </c>
      <c r="T36" s="237">
        <f>E36-жовтень!E30</f>
        <v>5800</v>
      </c>
      <c r="U36" s="237">
        <f>F36-жовтень!F30</f>
        <v>3381.739999999998</v>
      </c>
      <c r="V36" s="299">
        <f t="shared" si="10"/>
        <v>-2418.260000000002</v>
      </c>
      <c r="W36" s="341">
        <f>U36/T36*100</f>
        <v>58.30586206896549</v>
      </c>
      <c r="X36" s="363">
        <f t="shared" si="18"/>
        <v>-0.01996753005704699</v>
      </c>
    </row>
    <row r="37" spans="1:24" s="6" customFormat="1" ht="18" customHeight="1" hidden="1">
      <c r="A37" s="8"/>
      <c r="B37" s="196" t="s">
        <v>112</v>
      </c>
      <c r="C37" s="197"/>
      <c r="D37" s="199">
        <f t="shared" si="19"/>
        <v>124759</v>
      </c>
      <c r="E37" s="199">
        <f t="shared" si="19"/>
        <v>114919</v>
      </c>
      <c r="F37" s="199">
        <f t="shared" si="19"/>
        <v>109333.65000000001</v>
      </c>
      <c r="G37" s="223">
        <f t="shared" si="9"/>
        <v>-5585.349999999991</v>
      </c>
      <c r="H37" s="379">
        <f t="shared" si="11"/>
        <v>0.9513975060694925</v>
      </c>
      <c r="I37" s="299">
        <f t="shared" si="1"/>
        <v>-15425.349999999991</v>
      </c>
      <c r="J37" s="341">
        <f t="shared" si="17"/>
        <v>0.8763588198045833</v>
      </c>
      <c r="K37" s="299"/>
      <c r="L37" s="299"/>
      <c r="M37" s="299"/>
      <c r="N37" s="299">
        <v>110199.06</v>
      </c>
      <c r="O37" s="299">
        <f t="shared" si="14"/>
        <v>14559.940000000002</v>
      </c>
      <c r="P37" s="341">
        <f t="shared" si="15"/>
        <v>1.1321239945240913</v>
      </c>
      <c r="Q37" s="200">
        <v>99733.95</v>
      </c>
      <c r="R37" s="200">
        <f t="shared" si="5"/>
        <v>9599.700000000012</v>
      </c>
      <c r="S37" s="228">
        <f t="shared" si="16"/>
        <v>1.0962530813228595</v>
      </c>
      <c r="T37" s="237">
        <f>E37-жовтень!E31</f>
        <v>10935</v>
      </c>
      <c r="U37" s="237">
        <f>F37-жовтень!F31</f>
        <v>6906.930000000008</v>
      </c>
      <c r="V37" s="299">
        <f t="shared" si="10"/>
        <v>-4028.0699999999924</v>
      </c>
      <c r="W37" s="341">
        <f>U37/T37*100</f>
        <v>63.16351165980802</v>
      </c>
      <c r="X37" s="363">
        <f t="shared" si="18"/>
        <v>-0.03587091320123181</v>
      </c>
    </row>
    <row r="38" spans="1:24" s="6" customFormat="1" ht="18" customHeight="1" hidden="1">
      <c r="A38" s="8"/>
      <c r="B38" s="374" t="s">
        <v>273</v>
      </c>
      <c r="C38" s="197">
        <v>18010500</v>
      </c>
      <c r="D38" s="385">
        <v>54968</v>
      </c>
      <c r="E38" s="385">
        <v>50368</v>
      </c>
      <c r="F38" s="373">
        <v>49801.45</v>
      </c>
      <c r="G38" s="385">
        <f t="shared" si="9"/>
        <v>-566.5500000000029</v>
      </c>
      <c r="H38" s="387">
        <f t="shared" si="11"/>
        <v>0.9887517868487928</v>
      </c>
      <c r="I38" s="388">
        <f t="shared" si="1"/>
        <v>-5166.550000000003</v>
      </c>
      <c r="J38" s="389">
        <f t="shared" si="17"/>
        <v>0.9060080410420608</v>
      </c>
      <c r="K38" s="299"/>
      <c r="L38" s="299"/>
      <c r="M38" s="299"/>
      <c r="N38" s="388">
        <v>46607.08</v>
      </c>
      <c r="O38" s="388">
        <f t="shared" si="14"/>
        <v>8360.919999999998</v>
      </c>
      <c r="P38" s="389">
        <f t="shared" si="15"/>
        <v>1.1793916289113155</v>
      </c>
      <c r="Q38" s="388">
        <v>42811.57</v>
      </c>
      <c r="R38" s="388">
        <f t="shared" si="5"/>
        <v>6989.879999999997</v>
      </c>
      <c r="S38" s="389">
        <f t="shared" si="16"/>
        <v>1.1632708167441652</v>
      </c>
      <c r="T38" s="373"/>
      <c r="U38" s="373"/>
      <c r="V38" s="388"/>
      <c r="W38" s="389"/>
      <c r="X38" s="363"/>
    </row>
    <row r="39" spans="1:24" s="6" customFormat="1" ht="18" customHeight="1" hidden="1">
      <c r="A39" s="8"/>
      <c r="B39" s="374" t="s">
        <v>274</v>
      </c>
      <c r="C39" s="197">
        <v>18010600</v>
      </c>
      <c r="D39" s="385">
        <v>103924</v>
      </c>
      <c r="E39" s="385">
        <v>95039</v>
      </c>
      <c r="F39" s="373">
        <v>91002.52</v>
      </c>
      <c r="G39" s="385">
        <f t="shared" si="9"/>
        <v>-4036.479999999996</v>
      </c>
      <c r="H39" s="387">
        <f t="shared" si="11"/>
        <v>0.9575281726449142</v>
      </c>
      <c r="I39" s="388">
        <f t="shared" si="1"/>
        <v>-12921.479999999996</v>
      </c>
      <c r="J39" s="389">
        <f t="shared" si="17"/>
        <v>0.8756641391786306</v>
      </c>
      <c r="K39" s="299"/>
      <c r="L39" s="299"/>
      <c r="M39" s="299"/>
      <c r="N39" s="388">
        <v>91357.39</v>
      </c>
      <c r="O39" s="388">
        <f t="shared" si="14"/>
        <v>12566.61</v>
      </c>
      <c r="P39" s="389">
        <f t="shared" si="15"/>
        <v>1.1375543894150215</v>
      </c>
      <c r="Q39" s="388">
        <v>82561.09</v>
      </c>
      <c r="R39" s="388">
        <f t="shared" si="5"/>
        <v>8441.430000000008</v>
      </c>
      <c r="S39" s="389">
        <f t="shared" si="16"/>
        <v>1.1022446530199639</v>
      </c>
      <c r="T39" s="373"/>
      <c r="U39" s="373"/>
      <c r="V39" s="388"/>
      <c r="W39" s="389"/>
      <c r="X39" s="363"/>
    </row>
    <row r="40" spans="1:24" s="6" customFormat="1" ht="18" customHeight="1" hidden="1">
      <c r="A40" s="8"/>
      <c r="B40" s="374" t="s">
        <v>275</v>
      </c>
      <c r="C40" s="197">
        <v>18010700</v>
      </c>
      <c r="D40" s="385">
        <v>3565</v>
      </c>
      <c r="E40" s="385">
        <v>3365</v>
      </c>
      <c r="F40" s="373">
        <v>3228.4</v>
      </c>
      <c r="G40" s="385">
        <f t="shared" si="9"/>
        <v>-136.5999999999999</v>
      </c>
      <c r="H40" s="387">
        <f t="shared" si="11"/>
        <v>0.959405646359584</v>
      </c>
      <c r="I40" s="388">
        <f t="shared" si="1"/>
        <v>-336.5999999999999</v>
      </c>
      <c r="J40" s="389">
        <f t="shared" si="17"/>
        <v>0.9055820476858345</v>
      </c>
      <c r="K40" s="299"/>
      <c r="L40" s="299"/>
      <c r="M40" s="299"/>
      <c r="N40" s="388">
        <v>3304.89</v>
      </c>
      <c r="O40" s="388">
        <f t="shared" si="14"/>
        <v>260.1100000000001</v>
      </c>
      <c r="P40" s="389">
        <f t="shared" si="15"/>
        <v>1.0787045862343376</v>
      </c>
      <c r="Q40" s="388">
        <v>3191.05</v>
      </c>
      <c r="R40" s="388">
        <f t="shared" si="5"/>
        <v>37.34999999999991</v>
      </c>
      <c r="S40" s="389">
        <f t="shared" si="16"/>
        <v>1.0117046113348271</v>
      </c>
      <c r="T40" s="373"/>
      <c r="U40" s="373"/>
      <c r="V40" s="388"/>
      <c r="W40" s="389"/>
      <c r="X40" s="363"/>
    </row>
    <row r="41" spans="1:24" s="6" customFormat="1" ht="18" customHeight="1" hidden="1">
      <c r="A41" s="8"/>
      <c r="B41" s="374" t="s">
        <v>276</v>
      </c>
      <c r="C41" s="197">
        <v>18010900</v>
      </c>
      <c r="D41" s="385">
        <v>20835</v>
      </c>
      <c r="E41" s="385">
        <v>19880</v>
      </c>
      <c r="F41" s="373">
        <v>18331.13</v>
      </c>
      <c r="G41" s="385">
        <f t="shared" si="9"/>
        <v>-1548.869999999999</v>
      </c>
      <c r="H41" s="387">
        <f t="shared" si="11"/>
        <v>0.9220890342052315</v>
      </c>
      <c r="I41" s="388">
        <f t="shared" si="1"/>
        <v>-2503.869999999999</v>
      </c>
      <c r="J41" s="389">
        <f t="shared" si="17"/>
        <v>0.8798238540916727</v>
      </c>
      <c r="K41" s="299"/>
      <c r="L41" s="299"/>
      <c r="M41" s="299"/>
      <c r="N41" s="388">
        <v>18841.68</v>
      </c>
      <c r="O41" s="388">
        <f t="shared" si="14"/>
        <v>1993.3199999999997</v>
      </c>
      <c r="P41" s="389">
        <f t="shared" si="15"/>
        <v>1.1057931139898354</v>
      </c>
      <c r="Q41" s="388">
        <v>17172.76</v>
      </c>
      <c r="R41" s="388">
        <f t="shared" si="5"/>
        <v>1158.3700000000026</v>
      </c>
      <c r="S41" s="389">
        <f t="shared" si="16"/>
        <v>1.0674539212101026</v>
      </c>
      <c r="T41" s="373"/>
      <c r="U41" s="373"/>
      <c r="V41" s="388"/>
      <c r="W41" s="389"/>
      <c r="X41" s="363"/>
    </row>
    <row r="42" spans="1:24" s="6" customFormat="1" ht="18">
      <c r="A42" s="8"/>
      <c r="B42" s="225" t="s">
        <v>115</v>
      </c>
      <c r="C42" s="222">
        <v>18020000</v>
      </c>
      <c r="D42" s="162">
        <v>0</v>
      </c>
      <c r="E42" s="162">
        <v>0</v>
      </c>
      <c r="F42" s="199">
        <v>0.2</v>
      </c>
      <c r="G42" s="150">
        <f t="shared" si="9"/>
        <v>0.2</v>
      </c>
      <c r="H42" s="375"/>
      <c r="I42" s="158">
        <f t="shared" si="1"/>
        <v>0.2</v>
      </c>
      <c r="J42" s="158"/>
      <c r="K42" s="158"/>
      <c r="L42" s="158"/>
      <c r="M42" s="158"/>
      <c r="N42" s="158">
        <v>0.15</v>
      </c>
      <c r="O42" s="158">
        <f t="shared" si="14"/>
        <v>-0.15</v>
      </c>
      <c r="P42" s="210">
        <f t="shared" si="15"/>
        <v>0</v>
      </c>
      <c r="Q42" s="167">
        <v>0.15</v>
      </c>
      <c r="R42" s="158">
        <f t="shared" si="5"/>
        <v>0.05000000000000002</v>
      </c>
      <c r="S42" s="210"/>
      <c r="T42" s="157">
        <f>E42-жовтень!E32</f>
        <v>0</v>
      </c>
      <c r="U42" s="160">
        <f>F42-жовтень!F32</f>
        <v>0</v>
      </c>
      <c r="V42" s="161">
        <f t="shared" si="10"/>
        <v>0</v>
      </c>
      <c r="W42" s="210"/>
      <c r="X42" s="363">
        <f t="shared" si="18"/>
        <v>0</v>
      </c>
    </row>
    <row r="43" spans="1:24" s="6" customFormat="1" ht="18">
      <c r="A43" s="8"/>
      <c r="B43" s="44" t="s">
        <v>82</v>
      </c>
      <c r="C43" s="114">
        <v>18030000</v>
      </c>
      <c r="D43" s="150">
        <v>115</v>
      </c>
      <c r="E43" s="150">
        <v>107.5</v>
      </c>
      <c r="F43" s="156">
        <v>156.8</v>
      </c>
      <c r="G43" s="150">
        <f t="shared" si="9"/>
        <v>49.30000000000001</v>
      </c>
      <c r="H43" s="375">
        <f>F43/E43</f>
        <v>1.4586046511627908</v>
      </c>
      <c r="I43" s="158">
        <f t="shared" si="1"/>
        <v>41.80000000000001</v>
      </c>
      <c r="J43" s="210">
        <f>F43/D43</f>
        <v>1.3634782608695653</v>
      </c>
      <c r="K43" s="158"/>
      <c r="L43" s="158"/>
      <c r="M43" s="158"/>
      <c r="N43" s="158">
        <v>117.68</v>
      </c>
      <c r="O43" s="158">
        <f t="shared" si="14"/>
        <v>-2.680000000000007</v>
      </c>
      <c r="P43" s="210">
        <f t="shared" si="15"/>
        <v>0.9772263766145479</v>
      </c>
      <c r="Q43" s="158">
        <v>114.68</v>
      </c>
      <c r="R43" s="158">
        <f t="shared" si="5"/>
        <v>42.120000000000005</v>
      </c>
      <c r="S43" s="210">
        <f aca="true" t="shared" si="20" ref="S43:S51">F43/Q43</f>
        <v>1.3672828740844087</v>
      </c>
      <c r="T43" s="157">
        <f>E43-жовтень!E33</f>
        <v>15</v>
      </c>
      <c r="U43" s="160">
        <f>F43-жовтень!F33</f>
        <v>22.439999999999998</v>
      </c>
      <c r="V43" s="161">
        <f t="shared" si="10"/>
        <v>7.439999999999998</v>
      </c>
      <c r="W43" s="210">
        <f>U43/T43</f>
        <v>1.4959999999999998</v>
      </c>
      <c r="X43" s="363">
        <f t="shared" si="18"/>
        <v>0.3900564974698608</v>
      </c>
    </row>
    <row r="44" spans="1:24" s="6" customFormat="1" ht="18" hidden="1">
      <c r="A44" s="8"/>
      <c r="B44" s="50" t="s">
        <v>277</v>
      </c>
      <c r="C44" s="102">
        <v>18031000</v>
      </c>
      <c r="D44" s="150">
        <v>52</v>
      </c>
      <c r="E44" s="103">
        <v>48.5</v>
      </c>
      <c r="F44" s="140">
        <v>95.14</v>
      </c>
      <c r="G44" s="103">
        <f t="shared" si="9"/>
        <v>46.64</v>
      </c>
      <c r="H44" s="376">
        <f>F44/E44</f>
        <v>1.9616494845360826</v>
      </c>
      <c r="I44" s="104">
        <f t="shared" si="1"/>
        <v>43.14</v>
      </c>
      <c r="J44" s="109">
        <f>F44/D44</f>
        <v>1.8296153846153846</v>
      </c>
      <c r="K44" s="104"/>
      <c r="L44" s="104"/>
      <c r="M44" s="104"/>
      <c r="N44" s="104">
        <v>53.55</v>
      </c>
      <c r="O44" s="104">
        <f t="shared" si="14"/>
        <v>-1.5499999999999972</v>
      </c>
      <c r="P44" s="109">
        <f t="shared" si="15"/>
        <v>0.9710550887021476</v>
      </c>
      <c r="Q44" s="104">
        <v>52.05</v>
      </c>
      <c r="R44" s="104">
        <f t="shared" si="5"/>
        <v>43.09</v>
      </c>
      <c r="S44" s="109">
        <f t="shared" si="20"/>
        <v>1.827857829010567</v>
      </c>
      <c r="T44" s="105"/>
      <c r="U44" s="144"/>
      <c r="V44" s="106"/>
      <c r="W44" s="109"/>
      <c r="X44" s="363"/>
    </row>
    <row r="45" spans="1:24" s="6" customFormat="1" ht="18" hidden="1">
      <c r="A45" s="8"/>
      <c r="B45" s="50" t="s">
        <v>278</v>
      </c>
      <c r="C45" s="102">
        <v>18031100</v>
      </c>
      <c r="D45" s="150">
        <v>63</v>
      </c>
      <c r="E45" s="103">
        <v>59</v>
      </c>
      <c r="F45" s="140">
        <v>61.66</v>
      </c>
      <c r="G45" s="103">
        <f t="shared" si="9"/>
        <v>2.6599999999999966</v>
      </c>
      <c r="H45" s="376">
        <f>F45/E45</f>
        <v>1.0450847457627117</v>
      </c>
      <c r="I45" s="104">
        <f t="shared" si="1"/>
        <v>-1.3400000000000034</v>
      </c>
      <c r="J45" s="109">
        <f>F45/D45</f>
        <v>0.9787301587301587</v>
      </c>
      <c r="K45" s="104"/>
      <c r="L45" s="104"/>
      <c r="M45" s="104"/>
      <c r="N45" s="104">
        <v>64.14</v>
      </c>
      <c r="O45" s="104">
        <f t="shared" si="14"/>
        <v>-1.1400000000000006</v>
      </c>
      <c r="P45" s="109">
        <f t="shared" si="15"/>
        <v>0.9822263797942001</v>
      </c>
      <c r="Q45" s="104">
        <v>62.64</v>
      </c>
      <c r="R45" s="104">
        <f t="shared" si="5"/>
        <v>-0.980000000000004</v>
      </c>
      <c r="S45" s="109">
        <f t="shared" si="20"/>
        <v>0.9843550446998722</v>
      </c>
      <c r="T45" s="105"/>
      <c r="U45" s="144"/>
      <c r="V45" s="106"/>
      <c r="W45" s="109"/>
      <c r="X45" s="363"/>
    </row>
    <row r="46" spans="1:24" s="6" customFormat="1" ht="30.75">
      <c r="A46" s="8"/>
      <c r="B46" s="225" t="s">
        <v>83</v>
      </c>
      <c r="C46" s="114">
        <v>18040000</v>
      </c>
      <c r="D46" s="150"/>
      <c r="E46" s="150"/>
      <c r="F46" s="156">
        <v>-42.88</v>
      </c>
      <c r="G46" s="150">
        <f t="shared" si="9"/>
        <v>-42.88</v>
      </c>
      <c r="H46" s="375"/>
      <c r="I46" s="158">
        <f t="shared" si="1"/>
        <v>-42.88</v>
      </c>
      <c r="J46" s="210"/>
      <c r="K46" s="158"/>
      <c r="L46" s="158"/>
      <c r="M46" s="158"/>
      <c r="N46" s="158">
        <v>-177.97</v>
      </c>
      <c r="O46" s="158">
        <f t="shared" si="14"/>
        <v>177.97</v>
      </c>
      <c r="P46" s="210">
        <f t="shared" si="15"/>
        <v>0</v>
      </c>
      <c r="Q46" s="158">
        <v>-173.97</v>
      </c>
      <c r="R46" s="158">
        <f t="shared" si="5"/>
        <v>131.09</v>
      </c>
      <c r="S46" s="210">
        <f t="shared" si="20"/>
        <v>0.2464792780364431</v>
      </c>
      <c r="T46" s="157">
        <f>E46-жовтень!E34</f>
        <v>0</v>
      </c>
      <c r="U46" s="160">
        <f>F46-жовтень!F34</f>
        <v>0.5799999999999983</v>
      </c>
      <c r="V46" s="161">
        <f t="shared" si="10"/>
        <v>0.5799999999999983</v>
      </c>
      <c r="W46" s="210"/>
      <c r="X46" s="363">
        <f t="shared" si="18"/>
        <v>0.2464792780364431</v>
      </c>
    </row>
    <row r="47" spans="1:24" s="6" customFormat="1" ht="18">
      <c r="A47" s="8"/>
      <c r="B47" s="44" t="s">
        <v>84</v>
      </c>
      <c r="C47" s="114">
        <v>18050000</v>
      </c>
      <c r="D47" s="162">
        <v>194394.1</v>
      </c>
      <c r="E47" s="162">
        <v>187755</v>
      </c>
      <c r="F47" s="163">
        <v>212260.13</v>
      </c>
      <c r="G47" s="150">
        <f t="shared" si="9"/>
        <v>24505.130000000005</v>
      </c>
      <c r="H47" s="375">
        <f>F47/E47*100</f>
        <v>113.05165241937631</v>
      </c>
      <c r="I47" s="158">
        <f t="shared" si="1"/>
        <v>17866.03</v>
      </c>
      <c r="J47" s="210">
        <f>F47/D47</f>
        <v>1.0919062358374045</v>
      </c>
      <c r="K47" s="158"/>
      <c r="L47" s="158"/>
      <c r="M47" s="158"/>
      <c r="N47" s="158">
        <v>158268.6</v>
      </c>
      <c r="O47" s="158">
        <f t="shared" si="14"/>
        <v>36125.5</v>
      </c>
      <c r="P47" s="210">
        <f t="shared" si="15"/>
        <v>1.2282543726298205</v>
      </c>
      <c r="Q47" s="178">
        <v>150029.99</v>
      </c>
      <c r="R47" s="178">
        <f t="shared" si="5"/>
        <v>62230.140000000014</v>
      </c>
      <c r="S47" s="226">
        <f t="shared" si="20"/>
        <v>1.414784670718168</v>
      </c>
      <c r="T47" s="157">
        <f>E47-жовтень!E35</f>
        <v>18700</v>
      </c>
      <c r="U47" s="160">
        <f>F47-жовтень!F35</f>
        <v>31401.619999999995</v>
      </c>
      <c r="V47" s="161">
        <f t="shared" si="10"/>
        <v>12701.619999999995</v>
      </c>
      <c r="W47" s="210">
        <f>U47/T47</f>
        <v>1.6792310160427806</v>
      </c>
      <c r="X47" s="363">
        <f t="shared" si="18"/>
        <v>0.18653029808834742</v>
      </c>
    </row>
    <row r="48" spans="1:24" s="6" customFormat="1" ht="15" customHeight="1" hidden="1">
      <c r="A48" s="8"/>
      <c r="B48" s="50" t="s">
        <v>90</v>
      </c>
      <c r="C48" s="102">
        <v>18050200</v>
      </c>
      <c r="D48" s="103">
        <v>0</v>
      </c>
      <c r="E48" s="103">
        <v>0</v>
      </c>
      <c r="F48" s="140">
        <v>0.01</v>
      </c>
      <c r="G48" s="103">
        <f>F48-E48</f>
        <v>0.01</v>
      </c>
      <c r="H48" s="376"/>
      <c r="I48" s="104">
        <f t="shared" si="1"/>
        <v>0.01</v>
      </c>
      <c r="J48" s="109"/>
      <c r="K48" s="104"/>
      <c r="L48" s="104"/>
      <c r="M48" s="104"/>
      <c r="N48" s="104">
        <v>0.23</v>
      </c>
      <c r="O48" s="104">
        <f t="shared" si="14"/>
        <v>-0.23</v>
      </c>
      <c r="P48" s="109">
        <f t="shared" si="15"/>
        <v>0</v>
      </c>
      <c r="Q48" s="127">
        <v>0.23</v>
      </c>
      <c r="R48" s="127">
        <f t="shared" si="5"/>
        <v>-0.22</v>
      </c>
      <c r="S48" s="216">
        <f t="shared" si="20"/>
        <v>0.043478260869565216</v>
      </c>
      <c r="T48" s="105">
        <f>E48-жовтень!E36</f>
        <v>0</v>
      </c>
      <c r="U48" s="144">
        <f>F48-жовтень!F36</f>
        <v>0</v>
      </c>
      <c r="V48" s="106">
        <f t="shared" si="10"/>
        <v>0</v>
      </c>
      <c r="W48" s="109"/>
      <c r="X48" s="363">
        <f t="shared" si="18"/>
        <v>0.043478260869565216</v>
      </c>
    </row>
    <row r="49" spans="1:24" s="6" customFormat="1" ht="15" customHeight="1" hidden="1">
      <c r="A49" s="8"/>
      <c r="B49" s="50" t="s">
        <v>91</v>
      </c>
      <c r="C49" s="102">
        <v>18050300</v>
      </c>
      <c r="D49" s="103">
        <v>41000</v>
      </c>
      <c r="E49" s="103">
        <v>39500</v>
      </c>
      <c r="F49" s="140">
        <v>43208.92</v>
      </c>
      <c r="G49" s="103">
        <f>F49-E49</f>
        <v>3708.9199999999983</v>
      </c>
      <c r="H49" s="376">
        <f>F49/E49</f>
        <v>1.0938967088607594</v>
      </c>
      <c r="I49" s="104">
        <f t="shared" si="1"/>
        <v>2208.9199999999983</v>
      </c>
      <c r="J49" s="109">
        <f>F49/D49</f>
        <v>1.0538760975609756</v>
      </c>
      <c r="K49" s="104"/>
      <c r="L49" s="104"/>
      <c r="M49" s="104"/>
      <c r="N49" s="104">
        <v>39173.72</v>
      </c>
      <c r="O49" s="104">
        <f t="shared" si="14"/>
        <v>1826.2799999999988</v>
      </c>
      <c r="P49" s="109">
        <f t="shared" si="15"/>
        <v>1.0466200299588602</v>
      </c>
      <c r="Q49" s="127">
        <v>37146.19</v>
      </c>
      <c r="R49" s="127">
        <f t="shared" si="5"/>
        <v>6062.729999999996</v>
      </c>
      <c r="S49" s="216">
        <f t="shared" si="20"/>
        <v>1.1632127009526414</v>
      </c>
      <c r="T49" s="105">
        <f>E49-жовтень!E37</f>
        <v>4860</v>
      </c>
      <c r="U49" s="144">
        <f>F49-жовтень!F37</f>
        <v>8343.049999999996</v>
      </c>
      <c r="V49" s="106">
        <f t="shared" si="10"/>
        <v>3483.0499999999956</v>
      </c>
      <c r="W49" s="109">
        <f>U49/T49</f>
        <v>1.7166769547325094</v>
      </c>
      <c r="X49" s="363">
        <f t="shared" si="18"/>
        <v>0.11659267099378123</v>
      </c>
    </row>
    <row r="50" spans="1:24" s="6" customFormat="1" ht="15" customHeight="1" hidden="1">
      <c r="A50" s="8"/>
      <c r="B50" s="50" t="s">
        <v>92</v>
      </c>
      <c r="C50" s="102">
        <v>18050400</v>
      </c>
      <c r="D50" s="103">
        <v>153339.1</v>
      </c>
      <c r="E50" s="103">
        <v>148200</v>
      </c>
      <c r="F50" s="140">
        <v>168986.06</v>
      </c>
      <c r="G50" s="103">
        <f>F50-E50</f>
        <v>20786.059999999998</v>
      </c>
      <c r="H50" s="376">
        <f>F50/E50</f>
        <v>1.1402568151147099</v>
      </c>
      <c r="I50" s="104">
        <f t="shared" si="1"/>
        <v>15646.959999999992</v>
      </c>
      <c r="J50" s="109">
        <f>F50/D50</f>
        <v>1.1020415536546124</v>
      </c>
      <c r="K50" s="104"/>
      <c r="L50" s="104"/>
      <c r="M50" s="104"/>
      <c r="N50" s="104">
        <v>119039.46</v>
      </c>
      <c r="O50" s="104">
        <f t="shared" si="14"/>
        <v>34299.64</v>
      </c>
      <c r="P50" s="109">
        <f t="shared" si="15"/>
        <v>1.2881367237384982</v>
      </c>
      <c r="Q50" s="127">
        <v>112830.49</v>
      </c>
      <c r="R50" s="127">
        <f t="shared" si="5"/>
        <v>56155.56999999999</v>
      </c>
      <c r="S50" s="216">
        <f t="shared" si="20"/>
        <v>1.4976985387549056</v>
      </c>
      <c r="T50" s="105">
        <f>E50-жовтень!E38</f>
        <v>13840</v>
      </c>
      <c r="U50" s="144">
        <f>F50-жовтень!F38</f>
        <v>23058.570000000007</v>
      </c>
      <c r="V50" s="106">
        <f t="shared" si="10"/>
        <v>9218.570000000007</v>
      </c>
      <c r="W50" s="109">
        <f>U50/T50</f>
        <v>1.6660816473988445</v>
      </c>
      <c r="X50" s="363">
        <f t="shared" si="18"/>
        <v>0.20956181501640736</v>
      </c>
    </row>
    <row r="51" spans="1:24" s="6" customFormat="1" ht="15" customHeight="1" hidden="1">
      <c r="A51" s="8"/>
      <c r="B51" s="50" t="s">
        <v>93</v>
      </c>
      <c r="C51" s="102">
        <v>18050500</v>
      </c>
      <c r="D51" s="103">
        <v>55</v>
      </c>
      <c r="E51" s="103">
        <v>55</v>
      </c>
      <c r="F51" s="140">
        <v>65.14</v>
      </c>
      <c r="G51" s="103">
        <f>F51-E51</f>
        <v>10.14</v>
      </c>
      <c r="H51" s="376">
        <f>F51/E51</f>
        <v>1.1843636363636363</v>
      </c>
      <c r="I51" s="104">
        <f t="shared" si="1"/>
        <v>10.14</v>
      </c>
      <c r="J51" s="109">
        <f>F51/D51</f>
        <v>1.1843636363636363</v>
      </c>
      <c r="K51" s="104"/>
      <c r="L51" s="104"/>
      <c r="M51" s="104"/>
      <c r="N51" s="104">
        <v>55.18</v>
      </c>
      <c r="O51" s="104">
        <f t="shared" si="14"/>
        <v>-0.17999999999999972</v>
      </c>
      <c r="P51" s="109">
        <f t="shared" si="15"/>
        <v>0.9967379485320769</v>
      </c>
      <c r="Q51" s="127">
        <v>53.08</v>
      </c>
      <c r="R51" s="127">
        <f t="shared" si="5"/>
        <v>12.060000000000002</v>
      </c>
      <c r="S51" s="216">
        <f t="shared" si="20"/>
        <v>1.227204220045215</v>
      </c>
      <c r="T51" s="105">
        <f>E51-жовтень!E39</f>
        <v>0</v>
      </c>
      <c r="U51" s="144">
        <f>F51-жовтень!F39</f>
        <v>0</v>
      </c>
      <c r="V51" s="106">
        <f t="shared" si="10"/>
        <v>0</v>
      </c>
      <c r="W51" s="109"/>
      <c r="X51" s="363">
        <f t="shared" si="18"/>
        <v>0.23046627151313803</v>
      </c>
    </row>
    <row r="52" spans="1:24" s="6" customFormat="1" ht="15" customHeight="1" hidden="1">
      <c r="A52" s="8"/>
      <c r="B52" s="232"/>
      <c r="C52" s="43"/>
      <c r="D52" s="34">
        <v>0</v>
      </c>
      <c r="E52" s="34">
        <v>0</v>
      </c>
      <c r="F52" s="290">
        <v>0</v>
      </c>
      <c r="G52" s="34">
        <f>F52-E52</f>
        <v>0</v>
      </c>
      <c r="H52" s="375"/>
      <c r="I52" s="119">
        <f t="shared" si="1"/>
        <v>0</v>
      </c>
      <c r="J52" s="94"/>
      <c r="K52" s="37"/>
      <c r="L52" s="37"/>
      <c r="M52" s="37"/>
      <c r="N52" s="37"/>
      <c r="O52" s="37"/>
      <c r="P52" s="94"/>
      <c r="Q52" s="119">
        <v>0</v>
      </c>
      <c r="R52" s="119">
        <f t="shared" si="5"/>
        <v>0</v>
      </c>
      <c r="S52" s="217"/>
      <c r="T52" s="137">
        <f>E52-жовтень!E40</f>
        <v>0</v>
      </c>
      <c r="U52" s="145">
        <f>F52-жовтень!F40</f>
        <v>0</v>
      </c>
      <c r="V52" s="161">
        <f t="shared" si="10"/>
        <v>0</v>
      </c>
      <c r="W52" s="94"/>
      <c r="X52" s="363">
        <f t="shared" si="18"/>
        <v>0</v>
      </c>
    </row>
    <row r="53" spans="1:24" s="6" customFormat="1" ht="17.25">
      <c r="A53" s="7"/>
      <c r="B53" s="16" t="s">
        <v>12</v>
      </c>
      <c r="C53" s="70">
        <v>20000000</v>
      </c>
      <c r="D53" s="151">
        <f>D54+D55+D56+D57+D58+D60+D62+D63+D64+D65+D66+D71+D72+D76+D59+D61</f>
        <v>63295</v>
      </c>
      <c r="E53" s="151">
        <f>E54+E55+E56+E57+E58+E60+E62+E63+E64+E65+E66+E71+E72+E76+E59+E61</f>
        <v>62177.9</v>
      </c>
      <c r="F53" s="151">
        <f>F54+F55+F56+F57+F58+F60+F62+F63+F64+F65+F66+F71+F72+F76+F59+F61</f>
        <v>62364.659999999996</v>
      </c>
      <c r="G53" s="151">
        <f>G54+G55+G56+G57+G58+G60+G62+G63+G64+G65+G66+G71+G72+G76+G59+G61</f>
        <v>186.76000000000064</v>
      </c>
      <c r="H53" s="205">
        <f aca="true" t="shared" si="21" ref="H53:H72">F53/E53</f>
        <v>1.00300363955682</v>
      </c>
      <c r="I53" s="153">
        <f>F53-D53</f>
        <v>-930.3400000000038</v>
      </c>
      <c r="J53" s="219">
        <f aca="true" t="shared" si="22" ref="J53:J72">F53/D53</f>
        <v>0.9853015246069989</v>
      </c>
      <c r="K53" s="153"/>
      <c r="L53" s="153"/>
      <c r="M53" s="153"/>
      <c r="N53" s="153">
        <v>68752.68</v>
      </c>
      <c r="O53" s="153">
        <f>D53-N53</f>
        <v>-5457.679999999993</v>
      </c>
      <c r="P53" s="219">
        <f>D53/N53</f>
        <v>0.9206186580654021</v>
      </c>
      <c r="Q53" s="287">
        <v>61087.94</v>
      </c>
      <c r="R53" s="151">
        <f t="shared" si="5"/>
        <v>1276.719999999994</v>
      </c>
      <c r="S53" s="205">
        <f>F53/Q53</f>
        <v>1.0208997062267935</v>
      </c>
      <c r="T53" s="151">
        <f>T54+T55+T56+T57+T58+T60+T62+T63+T64+T65+T66+T71+T72+T76+T59+T61</f>
        <v>11963.8</v>
      </c>
      <c r="U53" s="151">
        <f>U54+U55+U56+U57+U58+U60+U62+U63+U64+U65+U66+U71+U72+U76+U59+U61</f>
        <v>6173.840000000001</v>
      </c>
      <c r="V53" s="151">
        <f>V54+V55+V56+V57+V58+V60+V62+V63+V64+V65+V66+V71+V72+V76</f>
        <v>-5785.3499999999985</v>
      </c>
      <c r="W53" s="205">
        <f>U53/T53</f>
        <v>0.516043397582708</v>
      </c>
      <c r="X53" s="363">
        <f t="shared" si="18"/>
        <v>0.10028104816139138</v>
      </c>
    </row>
    <row r="54" spans="1:24" s="6" customFormat="1" ht="46.5">
      <c r="A54" s="8"/>
      <c r="B54" s="225" t="s">
        <v>98</v>
      </c>
      <c r="C54" s="43">
        <v>21010301</v>
      </c>
      <c r="D54" s="150">
        <v>580</v>
      </c>
      <c r="E54" s="150">
        <v>580</v>
      </c>
      <c r="F54" s="156">
        <v>2633.96</v>
      </c>
      <c r="G54" s="150">
        <f aca="true" t="shared" si="23" ref="G54:G78">F54-E54</f>
        <v>2053.96</v>
      </c>
      <c r="H54" s="380">
        <f t="shared" si="21"/>
        <v>4.541310344827586</v>
      </c>
      <c r="I54" s="165">
        <f>F54-D54</f>
        <v>2053.96</v>
      </c>
      <c r="J54" s="218">
        <f t="shared" si="22"/>
        <v>4.541310344827586</v>
      </c>
      <c r="K54" s="165"/>
      <c r="L54" s="165"/>
      <c r="M54" s="165"/>
      <c r="N54" s="165">
        <v>551.04</v>
      </c>
      <c r="O54" s="165">
        <f>D54-N54</f>
        <v>28.960000000000036</v>
      </c>
      <c r="P54" s="218">
        <f>D54/N54</f>
        <v>1.052555168408827</v>
      </c>
      <c r="Q54" s="165">
        <v>551.04</v>
      </c>
      <c r="R54" s="165">
        <f t="shared" si="5"/>
        <v>2082.92</v>
      </c>
      <c r="S54" s="218">
        <f>F54/Q54</f>
        <v>4.779979674796748</v>
      </c>
      <c r="T54" s="157">
        <f>E54-жовтень!E42</f>
        <v>100</v>
      </c>
      <c r="U54" s="160">
        <f>F54-жовтень!F42</f>
        <v>960.5900000000001</v>
      </c>
      <c r="V54" s="161">
        <f aca="true" t="shared" si="24" ref="V54:V78">U54-T54</f>
        <v>860.5900000000001</v>
      </c>
      <c r="W54" s="218">
        <f>U54/T54</f>
        <v>9.605900000000002</v>
      </c>
      <c r="X54" s="363">
        <f t="shared" si="18"/>
        <v>3.727424506387921</v>
      </c>
    </row>
    <row r="55" spans="1:24" s="6" customFormat="1" ht="30.75">
      <c r="A55" s="8"/>
      <c r="B55" s="129" t="s">
        <v>77</v>
      </c>
      <c r="C55" s="42">
        <v>21050000</v>
      </c>
      <c r="D55" s="150">
        <v>26400</v>
      </c>
      <c r="E55" s="150">
        <v>26400</v>
      </c>
      <c r="F55" s="156">
        <v>24690.14</v>
      </c>
      <c r="G55" s="150">
        <f t="shared" si="23"/>
        <v>-1709.8600000000006</v>
      </c>
      <c r="H55" s="380">
        <f t="shared" si="21"/>
        <v>0.9352325757575758</v>
      </c>
      <c r="I55" s="165">
        <f aca="true" t="shared" si="25" ref="I55:I78">F55-D55</f>
        <v>-1709.8600000000006</v>
      </c>
      <c r="J55" s="218">
        <f t="shared" si="22"/>
        <v>0.9352325757575758</v>
      </c>
      <c r="K55" s="165"/>
      <c r="L55" s="165"/>
      <c r="M55" s="165"/>
      <c r="N55" s="165">
        <v>36136.57</v>
      </c>
      <c r="O55" s="165">
        <f aca="true" t="shared" si="26" ref="O55:O72">D55-N55</f>
        <v>-9736.57</v>
      </c>
      <c r="P55" s="218">
        <f aca="true" t="shared" si="27" ref="P55:P72">D55/N55</f>
        <v>0.7305618657221756</v>
      </c>
      <c r="Q55" s="165">
        <v>31079.13</v>
      </c>
      <c r="R55" s="165">
        <f t="shared" si="5"/>
        <v>-6388.990000000002</v>
      </c>
      <c r="S55" s="218">
        <f aca="true" t="shared" si="28" ref="S55:S78">F55/Q55</f>
        <v>0.7944282867634969</v>
      </c>
      <c r="T55" s="157">
        <f>E55-жовтень!E43</f>
        <v>1500</v>
      </c>
      <c r="U55" s="160">
        <f>F55-жовтень!F43</f>
        <v>2176.119999999999</v>
      </c>
      <c r="V55" s="161">
        <f t="shared" si="24"/>
        <v>676.119999999999</v>
      </c>
      <c r="W55" s="218">
        <f aca="true" t="shared" si="29" ref="W55:W77">U55/T55</f>
        <v>1.450746666666666</v>
      </c>
      <c r="X55" s="363">
        <f t="shared" si="18"/>
        <v>0.06386642104132123</v>
      </c>
    </row>
    <row r="56" spans="1:24" s="6" customFormat="1" ht="18">
      <c r="A56" s="8"/>
      <c r="B56" s="129" t="s">
        <v>61</v>
      </c>
      <c r="C56" s="42">
        <v>21080500</v>
      </c>
      <c r="D56" s="150">
        <v>40</v>
      </c>
      <c r="E56" s="150">
        <v>27</v>
      </c>
      <c r="F56" s="156">
        <v>143.3</v>
      </c>
      <c r="G56" s="150">
        <f t="shared" si="23"/>
        <v>116.30000000000001</v>
      </c>
      <c r="H56" s="380">
        <f t="shared" si="21"/>
        <v>5.307407407407408</v>
      </c>
      <c r="I56" s="165">
        <f t="shared" si="25"/>
        <v>103.30000000000001</v>
      </c>
      <c r="J56" s="218">
        <f t="shared" si="22"/>
        <v>3.5825000000000005</v>
      </c>
      <c r="K56" s="165"/>
      <c r="L56" s="165"/>
      <c r="M56" s="165"/>
      <c r="N56" s="165">
        <v>31.98</v>
      </c>
      <c r="O56" s="165">
        <f t="shared" si="26"/>
        <v>8.02</v>
      </c>
      <c r="P56" s="218">
        <f t="shared" si="27"/>
        <v>1.2507817385866167</v>
      </c>
      <c r="Q56" s="165">
        <v>31.98</v>
      </c>
      <c r="R56" s="165">
        <f t="shared" si="5"/>
        <v>111.32000000000001</v>
      </c>
      <c r="S56" s="218">
        <f t="shared" si="28"/>
        <v>4.480925578486555</v>
      </c>
      <c r="T56" s="157">
        <f>E56-жовтень!E44</f>
        <v>1</v>
      </c>
      <c r="U56" s="160">
        <f>F56-жовтень!F44</f>
        <v>5</v>
      </c>
      <c r="V56" s="161">
        <f t="shared" si="24"/>
        <v>4</v>
      </c>
      <c r="W56" s="218">
        <f t="shared" si="29"/>
        <v>5</v>
      </c>
      <c r="X56" s="363">
        <f t="shared" si="18"/>
        <v>3.230143839899938</v>
      </c>
    </row>
    <row r="57" spans="1:24" s="6" customFormat="1" ht="31.5">
      <c r="A57" s="8"/>
      <c r="B57" s="238" t="s">
        <v>39</v>
      </c>
      <c r="C57" s="71">
        <v>21080900</v>
      </c>
      <c r="D57" s="150">
        <v>13</v>
      </c>
      <c r="E57" s="150">
        <v>13</v>
      </c>
      <c r="F57" s="156">
        <v>12.95</v>
      </c>
      <c r="G57" s="150">
        <f t="shared" si="23"/>
        <v>-0.05000000000000071</v>
      </c>
      <c r="H57" s="380">
        <f t="shared" si="21"/>
        <v>0.9961538461538461</v>
      </c>
      <c r="I57" s="165">
        <f t="shared" si="25"/>
        <v>-0.05000000000000071</v>
      </c>
      <c r="J57" s="218">
        <f t="shared" si="22"/>
        <v>0.9961538461538461</v>
      </c>
      <c r="K57" s="165"/>
      <c r="L57" s="165"/>
      <c r="M57" s="165"/>
      <c r="N57" s="165">
        <v>0.1</v>
      </c>
      <c r="O57" s="165">
        <f t="shared" si="26"/>
        <v>12.9</v>
      </c>
      <c r="P57" s="218">
        <f t="shared" si="27"/>
        <v>130</v>
      </c>
      <c r="Q57" s="165">
        <v>0.1</v>
      </c>
      <c r="R57" s="165">
        <f t="shared" si="5"/>
        <v>12.85</v>
      </c>
      <c r="S57" s="218"/>
      <c r="T57" s="157">
        <f>E57-жовтень!E45</f>
        <v>13</v>
      </c>
      <c r="U57" s="160">
        <f>F57-жовтень!F45</f>
        <v>0</v>
      </c>
      <c r="V57" s="161">
        <f t="shared" si="24"/>
        <v>-13</v>
      </c>
      <c r="W57" s="218">
        <f t="shared" si="29"/>
        <v>0</v>
      </c>
      <c r="X57" s="363">
        <f t="shared" si="18"/>
        <v>-130</v>
      </c>
    </row>
    <row r="58" spans="1:24" s="6" customFormat="1" ht="18">
      <c r="A58" s="8"/>
      <c r="B58" s="130" t="s">
        <v>16</v>
      </c>
      <c r="C58" s="72">
        <v>21081100</v>
      </c>
      <c r="D58" s="150">
        <v>660</v>
      </c>
      <c r="E58" s="150">
        <v>638</v>
      </c>
      <c r="F58" s="156">
        <v>670.56</v>
      </c>
      <c r="G58" s="150">
        <f t="shared" si="23"/>
        <v>32.559999999999945</v>
      </c>
      <c r="H58" s="380">
        <f t="shared" si="21"/>
        <v>1.0510344827586207</v>
      </c>
      <c r="I58" s="165">
        <f t="shared" si="25"/>
        <v>10.559999999999945</v>
      </c>
      <c r="J58" s="218">
        <f t="shared" si="22"/>
        <v>1.016</v>
      </c>
      <c r="K58" s="165"/>
      <c r="L58" s="165"/>
      <c r="M58" s="165"/>
      <c r="N58" s="165">
        <v>241.07</v>
      </c>
      <c r="O58" s="165">
        <f t="shared" si="26"/>
        <v>418.93</v>
      </c>
      <c r="P58" s="218">
        <f t="shared" si="27"/>
        <v>2.7377940017422326</v>
      </c>
      <c r="Q58" s="165">
        <v>225.51</v>
      </c>
      <c r="R58" s="165">
        <f t="shared" si="5"/>
        <v>445.04999999999995</v>
      </c>
      <c r="S58" s="218">
        <f t="shared" si="28"/>
        <v>2.973526672874817</v>
      </c>
      <c r="T58" s="157">
        <f>E58-жовтень!E46</f>
        <v>422</v>
      </c>
      <c r="U58" s="160">
        <f>F58-жовтень!F46</f>
        <v>27.479999999999905</v>
      </c>
      <c r="V58" s="161">
        <f t="shared" si="24"/>
        <v>-394.5200000000001</v>
      </c>
      <c r="W58" s="218">
        <f t="shared" si="29"/>
        <v>0.06511848341232204</v>
      </c>
      <c r="X58" s="363">
        <f t="shared" si="18"/>
        <v>0.23573267113258423</v>
      </c>
    </row>
    <row r="59" spans="1:24" s="6" customFormat="1" ht="46.5">
      <c r="A59" s="8"/>
      <c r="B59" s="349" t="s">
        <v>80</v>
      </c>
      <c r="C59" s="72">
        <v>21081500</v>
      </c>
      <c r="D59" s="150">
        <v>97.5</v>
      </c>
      <c r="E59" s="150">
        <v>88.4</v>
      </c>
      <c r="F59" s="156">
        <v>103.62</v>
      </c>
      <c r="G59" s="150">
        <f t="shared" si="23"/>
        <v>15.219999999999999</v>
      </c>
      <c r="H59" s="380">
        <f t="shared" si="21"/>
        <v>1.1721719457013575</v>
      </c>
      <c r="I59" s="165">
        <f t="shared" si="25"/>
        <v>6.1200000000000045</v>
      </c>
      <c r="J59" s="218">
        <f t="shared" si="22"/>
        <v>1.062769230769231</v>
      </c>
      <c r="K59" s="165"/>
      <c r="L59" s="165"/>
      <c r="M59" s="165"/>
      <c r="N59" s="165">
        <v>86.37</v>
      </c>
      <c r="O59" s="165">
        <f t="shared" si="26"/>
        <v>11.129999999999995</v>
      </c>
      <c r="P59" s="218">
        <f t="shared" si="27"/>
        <v>1.1288641889544981</v>
      </c>
      <c r="Q59" s="165">
        <v>85.37</v>
      </c>
      <c r="R59" s="165">
        <f t="shared" si="5"/>
        <v>18.25</v>
      </c>
      <c r="S59" s="218">
        <f t="shared" si="28"/>
        <v>1.2137753309124986</v>
      </c>
      <c r="T59" s="157">
        <f>E59-жовтень!E47</f>
        <v>6.800000000000011</v>
      </c>
      <c r="U59" s="160">
        <f>F59-жовтень!F47</f>
        <v>25.189999999999998</v>
      </c>
      <c r="V59" s="161">
        <f t="shared" si="24"/>
        <v>18.389999999999986</v>
      </c>
      <c r="W59" s="218">
        <f t="shared" si="29"/>
        <v>3.704411764705876</v>
      </c>
      <c r="X59" s="363">
        <f t="shared" si="18"/>
        <v>0.08491114195800042</v>
      </c>
    </row>
    <row r="60" spans="1:24" s="6" customFormat="1" ht="30.75">
      <c r="A60" s="8"/>
      <c r="B60" s="349" t="s">
        <v>105</v>
      </c>
      <c r="C60" s="49">
        <v>22010300</v>
      </c>
      <c r="D60" s="150">
        <v>980</v>
      </c>
      <c r="E60" s="150">
        <v>960</v>
      </c>
      <c r="F60" s="156">
        <v>1091.62</v>
      </c>
      <c r="G60" s="150">
        <f t="shared" si="23"/>
        <v>131.6199999999999</v>
      </c>
      <c r="H60" s="380">
        <f t="shared" si="21"/>
        <v>1.1371041666666666</v>
      </c>
      <c r="I60" s="165">
        <f t="shared" si="25"/>
        <v>111.61999999999989</v>
      </c>
      <c r="J60" s="218">
        <f t="shared" si="22"/>
        <v>1.1138979591836733</v>
      </c>
      <c r="K60" s="165"/>
      <c r="L60" s="165"/>
      <c r="M60" s="165"/>
      <c r="N60" s="165">
        <v>791.33</v>
      </c>
      <c r="O60" s="165">
        <f t="shared" si="26"/>
        <v>188.66999999999996</v>
      </c>
      <c r="P60" s="218">
        <f t="shared" si="27"/>
        <v>1.238421391834001</v>
      </c>
      <c r="Q60" s="165">
        <v>629.78</v>
      </c>
      <c r="R60" s="165">
        <f t="shared" si="5"/>
        <v>461.8399999999999</v>
      </c>
      <c r="S60" s="218">
        <f t="shared" si="28"/>
        <v>1.733335450474769</v>
      </c>
      <c r="T60" s="157">
        <f>E60-жовтень!E48</f>
        <v>260</v>
      </c>
      <c r="U60" s="160">
        <f>F60-жовтень!F48</f>
        <v>83.67999999999984</v>
      </c>
      <c r="V60" s="161">
        <f t="shared" si="24"/>
        <v>-176.32000000000016</v>
      </c>
      <c r="W60" s="218">
        <f t="shared" si="29"/>
        <v>0.3218461538461532</v>
      </c>
      <c r="X60" s="363">
        <f t="shared" si="18"/>
        <v>0.4949140586407679</v>
      </c>
    </row>
    <row r="61" spans="1:24" s="6" customFormat="1" ht="18">
      <c r="A61" s="8"/>
      <c r="B61" s="130" t="s">
        <v>223</v>
      </c>
      <c r="C61" s="49">
        <v>22010200</v>
      </c>
      <c r="D61" s="150">
        <v>23</v>
      </c>
      <c r="E61" s="150">
        <v>23</v>
      </c>
      <c r="F61" s="156">
        <v>23.38</v>
      </c>
      <c r="G61" s="150">
        <f t="shared" si="23"/>
        <v>0.379999999999999</v>
      </c>
      <c r="H61" s="380">
        <f t="shared" si="21"/>
        <v>1.0165217391304346</v>
      </c>
      <c r="I61" s="165">
        <f t="shared" si="25"/>
        <v>0.379999999999999</v>
      </c>
      <c r="J61" s="218">
        <f t="shared" si="22"/>
        <v>1.0165217391304346</v>
      </c>
      <c r="K61" s="165"/>
      <c r="L61" s="165"/>
      <c r="M61" s="165"/>
      <c r="N61" s="165">
        <v>0</v>
      </c>
      <c r="O61" s="165">
        <f t="shared" si="26"/>
        <v>23</v>
      </c>
      <c r="P61" s="218" t="e">
        <f t="shared" si="27"/>
        <v>#DIV/0!</v>
      </c>
      <c r="Q61" s="165"/>
      <c r="R61" s="165">
        <f t="shared" si="5"/>
        <v>23.38</v>
      </c>
      <c r="S61" s="218"/>
      <c r="T61" s="157">
        <f>E61-жовтень!E49</f>
        <v>23</v>
      </c>
      <c r="U61" s="160">
        <f>F61-жовтень!F49</f>
        <v>0</v>
      </c>
      <c r="V61" s="161">
        <f t="shared" si="24"/>
        <v>-23</v>
      </c>
      <c r="W61" s="218">
        <f t="shared" si="29"/>
        <v>0</v>
      </c>
      <c r="X61" s="363" t="e">
        <f t="shared" si="18"/>
        <v>#DIV/0!</v>
      </c>
    </row>
    <row r="62" spans="1:24" s="6" customFormat="1" ht="18">
      <c r="A62" s="8"/>
      <c r="B62" s="355" t="s">
        <v>78</v>
      </c>
      <c r="C62" s="72">
        <v>22012500</v>
      </c>
      <c r="D62" s="150">
        <v>19000</v>
      </c>
      <c r="E62" s="150">
        <v>18300</v>
      </c>
      <c r="F62" s="156">
        <v>18277.56</v>
      </c>
      <c r="G62" s="150">
        <f t="shared" si="23"/>
        <v>-22.43999999999869</v>
      </c>
      <c r="H62" s="380">
        <f t="shared" si="21"/>
        <v>0.9987737704918034</v>
      </c>
      <c r="I62" s="165">
        <f t="shared" si="25"/>
        <v>-722.4399999999987</v>
      </c>
      <c r="J62" s="218">
        <f t="shared" si="22"/>
        <v>0.9619768421052632</v>
      </c>
      <c r="K62" s="165"/>
      <c r="L62" s="165"/>
      <c r="M62" s="165"/>
      <c r="N62" s="165">
        <v>11422.5</v>
      </c>
      <c r="O62" s="165">
        <f t="shared" si="26"/>
        <v>7577.5</v>
      </c>
      <c r="P62" s="218">
        <f t="shared" si="27"/>
        <v>1.663383672576056</v>
      </c>
      <c r="Q62" s="165">
        <v>10239.21</v>
      </c>
      <c r="R62" s="165">
        <f t="shared" si="5"/>
        <v>8038.350000000002</v>
      </c>
      <c r="S62" s="218">
        <f t="shared" si="28"/>
        <v>1.7850556830067947</v>
      </c>
      <c r="T62" s="157">
        <f>E62-жовтень!E50</f>
        <v>8660</v>
      </c>
      <c r="U62" s="160">
        <f>F62-жовтень!F50</f>
        <v>1776.510000000002</v>
      </c>
      <c r="V62" s="161">
        <f t="shared" si="24"/>
        <v>-6883.489999999998</v>
      </c>
      <c r="W62" s="218">
        <f t="shared" si="29"/>
        <v>0.20513972286374157</v>
      </c>
      <c r="X62" s="363">
        <f t="shared" si="18"/>
        <v>0.12167201043073872</v>
      </c>
    </row>
    <row r="63" spans="1:24" s="6" customFormat="1" ht="31.5">
      <c r="A63" s="8"/>
      <c r="B63" s="355" t="s">
        <v>99</v>
      </c>
      <c r="C63" s="72">
        <v>22012600</v>
      </c>
      <c r="D63" s="150">
        <v>530</v>
      </c>
      <c r="E63" s="150">
        <v>505</v>
      </c>
      <c r="F63" s="156">
        <v>605.34</v>
      </c>
      <c r="G63" s="150">
        <f t="shared" si="23"/>
        <v>100.34000000000003</v>
      </c>
      <c r="H63" s="380">
        <f t="shared" si="21"/>
        <v>1.1986930693069306</v>
      </c>
      <c r="I63" s="165">
        <f t="shared" si="25"/>
        <v>75.34000000000003</v>
      </c>
      <c r="J63" s="218">
        <f t="shared" si="22"/>
        <v>1.1421509433962265</v>
      </c>
      <c r="K63" s="165"/>
      <c r="L63" s="165"/>
      <c r="M63" s="165"/>
      <c r="N63" s="165">
        <v>323.25</v>
      </c>
      <c r="O63" s="165">
        <f t="shared" si="26"/>
        <v>206.75</v>
      </c>
      <c r="P63" s="218">
        <f t="shared" si="27"/>
        <v>1.639597834493426</v>
      </c>
      <c r="Q63" s="165">
        <v>282.65</v>
      </c>
      <c r="R63" s="165">
        <f t="shared" si="5"/>
        <v>322.69000000000005</v>
      </c>
      <c r="S63" s="218">
        <f t="shared" si="28"/>
        <v>2.141659295949054</v>
      </c>
      <c r="T63" s="157">
        <f>E63-жовтень!E51</f>
        <v>245</v>
      </c>
      <c r="U63" s="160">
        <f>F63-жовтень!F51</f>
        <v>74.38</v>
      </c>
      <c r="V63" s="161">
        <f t="shared" si="24"/>
        <v>-170.62</v>
      </c>
      <c r="W63" s="218">
        <f t="shared" si="29"/>
        <v>0.30359183673469387</v>
      </c>
      <c r="X63" s="363">
        <f t="shared" si="18"/>
        <v>0.5020614614556278</v>
      </c>
    </row>
    <row r="64" spans="1:24" s="6" customFormat="1" ht="31.5">
      <c r="A64" s="8"/>
      <c r="B64" s="33" t="s">
        <v>106</v>
      </c>
      <c r="C64" s="72">
        <v>22012900</v>
      </c>
      <c r="D64" s="150">
        <v>20</v>
      </c>
      <c r="E64" s="150">
        <v>19</v>
      </c>
      <c r="F64" s="156">
        <v>38.08</v>
      </c>
      <c r="G64" s="150">
        <f t="shared" si="23"/>
        <v>19.08</v>
      </c>
      <c r="H64" s="380">
        <f t="shared" si="21"/>
        <v>2.004210526315789</v>
      </c>
      <c r="I64" s="165">
        <f t="shared" si="25"/>
        <v>18.08</v>
      </c>
      <c r="J64" s="218">
        <f t="shared" si="22"/>
        <v>1.904</v>
      </c>
      <c r="K64" s="165"/>
      <c r="L64" s="165"/>
      <c r="M64" s="165"/>
      <c r="N64" s="165">
        <v>22.36</v>
      </c>
      <c r="O64" s="165">
        <f t="shared" si="26"/>
        <v>-2.3599999999999994</v>
      </c>
      <c r="P64" s="218">
        <f t="shared" si="27"/>
        <v>0.8944543828264758</v>
      </c>
      <c r="Q64" s="165">
        <v>19.16</v>
      </c>
      <c r="R64" s="165">
        <f t="shared" si="5"/>
        <v>18.919999999999998</v>
      </c>
      <c r="S64" s="218">
        <f t="shared" si="28"/>
        <v>1.987473903966597</v>
      </c>
      <c r="T64" s="157">
        <f>E64-жовтень!E52</f>
        <v>1</v>
      </c>
      <c r="U64" s="160">
        <f>F64-жовтень!F52</f>
        <v>7.199999999999999</v>
      </c>
      <c r="V64" s="161">
        <f t="shared" si="24"/>
        <v>6.199999999999999</v>
      </c>
      <c r="W64" s="218">
        <f t="shared" si="29"/>
        <v>7.199999999999999</v>
      </c>
      <c r="X64" s="363">
        <f t="shared" si="18"/>
        <v>1.0930195211401212</v>
      </c>
    </row>
    <row r="65" spans="1:24" s="6" customFormat="1" ht="30.75">
      <c r="A65" s="8"/>
      <c r="B65" s="130" t="s">
        <v>14</v>
      </c>
      <c r="C65" s="49">
        <v>22080400</v>
      </c>
      <c r="D65" s="150">
        <v>6452</v>
      </c>
      <c r="E65" s="150">
        <v>6447</v>
      </c>
      <c r="F65" s="156">
        <v>5925.6</v>
      </c>
      <c r="G65" s="150">
        <f t="shared" si="23"/>
        <v>-521.3999999999996</v>
      </c>
      <c r="H65" s="380">
        <f t="shared" si="21"/>
        <v>0.9191251744997674</v>
      </c>
      <c r="I65" s="165">
        <f t="shared" si="25"/>
        <v>-526.3999999999996</v>
      </c>
      <c r="J65" s="218">
        <f t="shared" si="22"/>
        <v>0.9184128952262864</v>
      </c>
      <c r="K65" s="165"/>
      <c r="L65" s="165"/>
      <c r="M65" s="165"/>
      <c r="N65" s="165">
        <v>7230.43</v>
      </c>
      <c r="O65" s="165">
        <f t="shared" si="26"/>
        <v>-778.4300000000003</v>
      </c>
      <c r="P65" s="218">
        <f t="shared" si="27"/>
        <v>0.8923397363642273</v>
      </c>
      <c r="Q65" s="165">
        <v>6734.69</v>
      </c>
      <c r="R65" s="165">
        <f t="shared" si="5"/>
        <v>-809.0899999999992</v>
      </c>
      <c r="S65" s="218">
        <f t="shared" si="28"/>
        <v>0.8798623247692174</v>
      </c>
      <c r="T65" s="157">
        <f>E65-жовтень!E53</f>
        <v>382</v>
      </c>
      <c r="U65" s="160">
        <f>F65-жовтень!F53</f>
        <v>517.4100000000008</v>
      </c>
      <c r="V65" s="161">
        <f t="shared" si="24"/>
        <v>135.41000000000076</v>
      </c>
      <c r="W65" s="218">
        <f t="shared" si="29"/>
        <v>1.354476439790578</v>
      </c>
      <c r="X65" s="363">
        <f t="shared" si="18"/>
        <v>-0.012477411595009813</v>
      </c>
    </row>
    <row r="66" spans="1:24" s="6" customFormat="1" ht="19.5" customHeight="1">
      <c r="A66" s="8"/>
      <c r="B66" s="130" t="s">
        <v>15</v>
      </c>
      <c r="C66" s="43">
        <v>22090000</v>
      </c>
      <c r="D66" s="150">
        <v>987</v>
      </c>
      <c r="E66" s="150">
        <v>985</v>
      </c>
      <c r="F66" s="156">
        <v>782.89</v>
      </c>
      <c r="G66" s="150">
        <f t="shared" si="23"/>
        <v>-202.11</v>
      </c>
      <c r="H66" s="380">
        <f t="shared" si="21"/>
        <v>0.7948121827411168</v>
      </c>
      <c r="I66" s="165">
        <f t="shared" si="25"/>
        <v>-204.11</v>
      </c>
      <c r="J66" s="218">
        <f t="shared" si="22"/>
        <v>0.7932016210739615</v>
      </c>
      <c r="K66" s="165"/>
      <c r="L66" s="165"/>
      <c r="M66" s="165"/>
      <c r="N66" s="165">
        <v>5161.34</v>
      </c>
      <c r="O66" s="165">
        <f t="shared" si="26"/>
        <v>-4174.34</v>
      </c>
      <c r="P66" s="218">
        <f t="shared" si="27"/>
        <v>0.19122940941693437</v>
      </c>
      <c r="Q66" s="165">
        <v>5102.74</v>
      </c>
      <c r="R66" s="165">
        <f t="shared" si="5"/>
        <v>-4319.849999999999</v>
      </c>
      <c r="S66" s="218">
        <f t="shared" si="28"/>
        <v>0.1534254145811858</v>
      </c>
      <c r="T66" s="157">
        <f>E66-жовтень!E54</f>
        <v>0</v>
      </c>
      <c r="U66" s="160">
        <f>F66-жовтень!F54</f>
        <v>76.15999999999997</v>
      </c>
      <c r="V66" s="161">
        <f t="shared" si="24"/>
        <v>76.15999999999997</v>
      </c>
      <c r="W66" s="218" t="e">
        <f t="shared" si="29"/>
        <v>#DIV/0!</v>
      </c>
      <c r="X66" s="363">
        <f t="shared" si="18"/>
        <v>-0.03780399483574856</v>
      </c>
    </row>
    <row r="67" spans="1:24" s="6" customFormat="1" ht="15" hidden="1">
      <c r="A67" s="8"/>
      <c r="B67" s="361" t="s">
        <v>97</v>
      </c>
      <c r="C67" s="123">
        <v>22090100</v>
      </c>
      <c r="D67" s="103">
        <v>820</v>
      </c>
      <c r="E67" s="103">
        <v>820</v>
      </c>
      <c r="F67" s="140">
        <v>660.02</v>
      </c>
      <c r="G67" s="103">
        <f t="shared" si="23"/>
        <v>-159.98000000000002</v>
      </c>
      <c r="H67" s="376">
        <f t="shared" si="21"/>
        <v>0.8049024390243902</v>
      </c>
      <c r="I67" s="104">
        <f t="shared" si="25"/>
        <v>-159.98000000000002</v>
      </c>
      <c r="J67" s="109">
        <f t="shared" si="22"/>
        <v>0.8049024390243902</v>
      </c>
      <c r="K67" s="104"/>
      <c r="L67" s="104"/>
      <c r="M67" s="104"/>
      <c r="N67" s="104">
        <v>835.21</v>
      </c>
      <c r="O67" s="104">
        <f t="shared" si="26"/>
        <v>-15.210000000000036</v>
      </c>
      <c r="P67" s="109">
        <f t="shared" si="27"/>
        <v>0.9817890111468971</v>
      </c>
      <c r="Q67" s="104">
        <v>784.76</v>
      </c>
      <c r="R67" s="370">
        <f t="shared" si="5"/>
        <v>-124.74000000000001</v>
      </c>
      <c r="S67" s="371">
        <f t="shared" si="28"/>
        <v>0.8410469442886997</v>
      </c>
      <c r="T67" s="105">
        <f>E67-жовтень!E55</f>
        <v>0</v>
      </c>
      <c r="U67" s="144">
        <f>F67-жовтень!F55</f>
        <v>64.86000000000001</v>
      </c>
      <c r="V67" s="106">
        <f t="shared" si="24"/>
        <v>64.86000000000001</v>
      </c>
      <c r="W67" s="109" t="e">
        <f t="shared" si="29"/>
        <v>#DIV/0!</v>
      </c>
      <c r="X67" s="363">
        <f t="shared" si="18"/>
        <v>-0.14074206685819735</v>
      </c>
    </row>
    <row r="68" spans="1:24" s="6" customFormat="1" ht="15" hidden="1">
      <c r="A68" s="8"/>
      <c r="B68" s="361" t="s">
        <v>94</v>
      </c>
      <c r="C68" s="123">
        <v>22090200</v>
      </c>
      <c r="D68" s="103">
        <v>1</v>
      </c>
      <c r="E68" s="103">
        <v>0</v>
      </c>
      <c r="F68" s="140">
        <v>0.18</v>
      </c>
      <c r="G68" s="103">
        <f t="shared" si="23"/>
        <v>0.18</v>
      </c>
      <c r="H68" s="376" t="e">
        <f t="shared" si="21"/>
        <v>#DIV/0!</v>
      </c>
      <c r="I68" s="104">
        <f t="shared" si="25"/>
        <v>-0.8200000000000001</v>
      </c>
      <c r="J68" s="109">
        <f t="shared" si="22"/>
        <v>0.18</v>
      </c>
      <c r="K68" s="104"/>
      <c r="L68" s="104"/>
      <c r="M68" s="104"/>
      <c r="N68" s="104">
        <v>0.38</v>
      </c>
      <c r="O68" s="104">
        <f t="shared" si="26"/>
        <v>0.62</v>
      </c>
      <c r="P68" s="109">
        <f t="shared" si="27"/>
        <v>2.6315789473684212</v>
      </c>
      <c r="Q68" s="104">
        <v>0.29</v>
      </c>
      <c r="R68" s="370">
        <f t="shared" si="5"/>
        <v>-0.10999999999999999</v>
      </c>
      <c r="S68" s="371">
        <f t="shared" si="28"/>
        <v>0.6206896551724138</v>
      </c>
      <c r="T68" s="105">
        <f>E68-жовтень!E56</f>
        <v>0</v>
      </c>
      <c r="U68" s="144">
        <f>F68-жовтень!F56</f>
        <v>0.009999999999999981</v>
      </c>
      <c r="V68" s="106">
        <f t="shared" si="24"/>
        <v>0.009999999999999981</v>
      </c>
      <c r="W68" s="109"/>
      <c r="X68" s="363">
        <f t="shared" si="18"/>
        <v>-2.0108892921960075</v>
      </c>
    </row>
    <row r="69" spans="1:24" s="6" customFormat="1" ht="15" hidden="1">
      <c r="A69" s="8"/>
      <c r="B69" s="361" t="s">
        <v>95</v>
      </c>
      <c r="C69" s="123">
        <v>22090300</v>
      </c>
      <c r="D69" s="103">
        <v>1</v>
      </c>
      <c r="E69" s="103">
        <v>0</v>
      </c>
      <c r="F69" s="140">
        <v>0</v>
      </c>
      <c r="G69" s="103">
        <f t="shared" si="23"/>
        <v>0</v>
      </c>
      <c r="H69" s="376" t="e">
        <f t="shared" si="21"/>
        <v>#DIV/0!</v>
      </c>
      <c r="I69" s="104">
        <f t="shared" si="25"/>
        <v>-1</v>
      </c>
      <c r="J69" s="109">
        <f t="shared" si="22"/>
        <v>0</v>
      </c>
      <c r="K69" s="104"/>
      <c r="L69" s="104"/>
      <c r="M69" s="104"/>
      <c r="N69" s="104">
        <v>0.02</v>
      </c>
      <c r="O69" s="104">
        <f t="shared" si="26"/>
        <v>0.98</v>
      </c>
      <c r="P69" s="109">
        <f t="shared" si="27"/>
        <v>50</v>
      </c>
      <c r="Q69" s="104">
        <v>0.02</v>
      </c>
      <c r="R69" s="370">
        <f t="shared" si="5"/>
        <v>-0.02</v>
      </c>
      <c r="S69" s="371">
        <f t="shared" si="28"/>
        <v>0</v>
      </c>
      <c r="T69" s="105">
        <f>E69-жовтень!E57</f>
        <v>0</v>
      </c>
      <c r="U69" s="144">
        <f>F69-жовтень!F57</f>
        <v>0</v>
      </c>
      <c r="V69" s="106">
        <f t="shared" si="24"/>
        <v>0</v>
      </c>
      <c r="W69" s="109"/>
      <c r="X69" s="363">
        <f t="shared" si="18"/>
        <v>-50</v>
      </c>
    </row>
    <row r="70" spans="1:24" s="6" customFormat="1" ht="15" hidden="1">
      <c r="A70" s="8"/>
      <c r="B70" s="361" t="s">
        <v>96</v>
      </c>
      <c r="C70" s="123">
        <v>22090400</v>
      </c>
      <c r="D70" s="103">
        <v>165</v>
      </c>
      <c r="E70" s="103">
        <v>165</v>
      </c>
      <c r="F70" s="140">
        <v>122.69</v>
      </c>
      <c r="G70" s="103">
        <f t="shared" si="23"/>
        <v>-42.31</v>
      </c>
      <c r="H70" s="376">
        <f t="shared" si="21"/>
        <v>0.7435757575757576</v>
      </c>
      <c r="I70" s="104">
        <f t="shared" si="25"/>
        <v>-42.31</v>
      </c>
      <c r="J70" s="109">
        <f t="shared" si="22"/>
        <v>0.7435757575757576</v>
      </c>
      <c r="K70" s="104"/>
      <c r="L70" s="104"/>
      <c r="M70" s="104"/>
      <c r="N70" s="104">
        <v>4325.74</v>
      </c>
      <c r="O70" s="104">
        <f t="shared" si="26"/>
        <v>-4160.74</v>
      </c>
      <c r="P70" s="109">
        <f t="shared" si="27"/>
        <v>0.03814376268569077</v>
      </c>
      <c r="Q70" s="104">
        <v>4317.57</v>
      </c>
      <c r="R70" s="370">
        <f t="shared" si="5"/>
        <v>-4194.88</v>
      </c>
      <c r="S70" s="371">
        <f t="shared" si="28"/>
        <v>0.02841644721452113</v>
      </c>
      <c r="T70" s="105">
        <f>E70-жовтень!E58</f>
        <v>0</v>
      </c>
      <c r="U70" s="144">
        <f>F70-жовтень!F58</f>
        <v>11.289999999999992</v>
      </c>
      <c r="V70" s="106">
        <f t="shared" si="24"/>
        <v>11.289999999999992</v>
      </c>
      <c r="W70" s="109" t="e">
        <f t="shared" si="29"/>
        <v>#DIV/0!</v>
      </c>
      <c r="X70" s="363">
        <f t="shared" si="18"/>
        <v>-0.009727315471169642</v>
      </c>
    </row>
    <row r="71" spans="1:24" s="6" customFormat="1" ht="46.5">
      <c r="A71" s="8"/>
      <c r="B71" s="130" t="s">
        <v>17</v>
      </c>
      <c r="C71" s="11" t="s">
        <v>18</v>
      </c>
      <c r="D71" s="150">
        <v>2.5</v>
      </c>
      <c r="E71" s="150">
        <v>2.5</v>
      </c>
      <c r="F71" s="156">
        <v>2.04</v>
      </c>
      <c r="G71" s="150">
        <f t="shared" si="23"/>
        <v>-0.45999999999999996</v>
      </c>
      <c r="H71" s="380">
        <f t="shared" si="21"/>
        <v>0.8160000000000001</v>
      </c>
      <c r="I71" s="165">
        <f t="shared" si="25"/>
        <v>-0.45999999999999996</v>
      </c>
      <c r="J71" s="218">
        <f t="shared" si="22"/>
        <v>0.8160000000000001</v>
      </c>
      <c r="K71" s="165"/>
      <c r="L71" s="165"/>
      <c r="M71" s="165"/>
      <c r="N71" s="165">
        <v>2.46</v>
      </c>
      <c r="O71" s="165">
        <f t="shared" si="26"/>
        <v>0.040000000000000036</v>
      </c>
      <c r="P71" s="218">
        <f t="shared" si="27"/>
        <v>1.016260162601626</v>
      </c>
      <c r="Q71" s="165">
        <v>2.46</v>
      </c>
      <c r="R71" s="165">
        <f t="shared" si="5"/>
        <v>-0.41999999999999993</v>
      </c>
      <c r="S71" s="218">
        <f t="shared" si="28"/>
        <v>0.8292682926829269</v>
      </c>
      <c r="T71" s="157">
        <f>E71-жовтень!E59</f>
        <v>0</v>
      </c>
      <c r="U71" s="160">
        <f>F71-серпень!F59</f>
        <v>0</v>
      </c>
      <c r="V71" s="161">
        <f t="shared" si="24"/>
        <v>0</v>
      </c>
      <c r="W71" s="218"/>
      <c r="X71" s="363">
        <f t="shared" si="18"/>
        <v>-0.1869918699186992</v>
      </c>
    </row>
    <row r="72" spans="1:24" s="6" customFormat="1" ht="15.75" customHeight="1">
      <c r="A72" s="8"/>
      <c r="B72" s="131" t="s">
        <v>13</v>
      </c>
      <c r="C72" s="11" t="s">
        <v>19</v>
      </c>
      <c r="D72" s="150">
        <v>7350</v>
      </c>
      <c r="E72" s="150">
        <v>7100</v>
      </c>
      <c r="F72" s="156">
        <v>7221.44</v>
      </c>
      <c r="G72" s="150">
        <f t="shared" si="23"/>
        <v>121.4399999999996</v>
      </c>
      <c r="H72" s="380">
        <f t="shared" si="21"/>
        <v>1.0171042253521125</v>
      </c>
      <c r="I72" s="165">
        <f t="shared" si="25"/>
        <v>-128.5600000000004</v>
      </c>
      <c r="J72" s="218">
        <f t="shared" si="22"/>
        <v>0.982508843537415</v>
      </c>
      <c r="K72" s="165"/>
      <c r="L72" s="165"/>
      <c r="M72" s="165"/>
      <c r="N72" s="165">
        <v>6525.16</v>
      </c>
      <c r="O72" s="165">
        <f t="shared" si="26"/>
        <v>824.8400000000001</v>
      </c>
      <c r="P72" s="218">
        <f t="shared" si="27"/>
        <v>1.1264091608481632</v>
      </c>
      <c r="Q72" s="165">
        <v>5945.02</v>
      </c>
      <c r="R72" s="165">
        <f t="shared" si="5"/>
        <v>1276.4199999999992</v>
      </c>
      <c r="S72" s="218">
        <f t="shared" si="28"/>
        <v>1.2147040716431567</v>
      </c>
      <c r="T72" s="157">
        <f>E72-жовтень!E60</f>
        <v>350</v>
      </c>
      <c r="U72" s="160">
        <f>F72-жовтень!F60</f>
        <v>421.5199999999995</v>
      </c>
      <c r="V72" s="161">
        <f t="shared" si="24"/>
        <v>71.51999999999953</v>
      </c>
      <c r="W72" s="218">
        <f t="shared" si="29"/>
        <v>1.2043428571428558</v>
      </c>
      <c r="X72" s="363">
        <f t="shared" si="18"/>
        <v>0.08829491079499352</v>
      </c>
    </row>
    <row r="73" spans="1:24" s="6" customFormat="1" ht="18" hidden="1">
      <c r="A73" s="8"/>
      <c r="B73" s="12" t="s">
        <v>22</v>
      </c>
      <c r="C73" s="61" t="s">
        <v>23</v>
      </c>
      <c r="D73" s="31">
        <v>0</v>
      </c>
      <c r="E73" s="31">
        <v>0</v>
      </c>
      <c r="F73" s="139">
        <v>0</v>
      </c>
      <c r="G73" s="150">
        <f t="shared" si="23"/>
        <v>0</v>
      </c>
      <c r="H73" s="380" t="e">
        <f>F73/E73*100</f>
        <v>#DIV/0!</v>
      </c>
      <c r="I73" s="165">
        <f t="shared" si="25"/>
        <v>0</v>
      </c>
      <c r="J73" s="218" t="e">
        <f>F73/D73*100</f>
        <v>#DIV/0!</v>
      </c>
      <c r="K73" s="165"/>
      <c r="L73" s="165"/>
      <c r="M73" s="165"/>
      <c r="N73" s="165"/>
      <c r="O73" s="165"/>
      <c r="P73" s="218"/>
      <c r="Q73" s="165">
        <v>0</v>
      </c>
      <c r="R73" s="165">
        <f t="shared" si="5"/>
        <v>0</v>
      </c>
      <c r="S73" s="218" t="e">
        <f t="shared" si="28"/>
        <v>#DIV/0!</v>
      </c>
      <c r="T73" s="157">
        <f>E73-серпень!E61</f>
        <v>0</v>
      </c>
      <c r="U73" s="160">
        <f>F73-серпень!F61</f>
        <v>0</v>
      </c>
      <c r="V73" s="161">
        <f t="shared" si="24"/>
        <v>0</v>
      </c>
      <c r="W73" s="218" t="e">
        <f t="shared" si="29"/>
        <v>#DIV/0!</v>
      </c>
      <c r="X73" s="363" t="e">
        <f t="shared" si="18"/>
        <v>#DIV/0!</v>
      </c>
    </row>
    <row r="74" spans="1:24" s="6" customFormat="1" ht="30.75">
      <c r="A74" s="8"/>
      <c r="B74" s="50" t="s">
        <v>42</v>
      </c>
      <c r="C74" s="61"/>
      <c r="D74" s="103"/>
      <c r="E74" s="103"/>
      <c r="F74" s="201">
        <v>1933.26</v>
      </c>
      <c r="G74" s="253"/>
      <c r="H74" s="380"/>
      <c r="I74" s="254"/>
      <c r="J74" s="305"/>
      <c r="K74" s="254"/>
      <c r="L74" s="254"/>
      <c r="M74" s="254"/>
      <c r="N74" s="254">
        <v>1411.18</v>
      </c>
      <c r="O74" s="165"/>
      <c r="P74" s="218"/>
      <c r="Q74" s="166">
        <v>1256.04</v>
      </c>
      <c r="R74" s="254"/>
      <c r="S74" s="305">
        <f t="shared" si="28"/>
        <v>1.5391707270469093</v>
      </c>
      <c r="T74" s="157"/>
      <c r="U74" s="179">
        <f>F74-жовтень!F62</f>
        <v>160.04999999999995</v>
      </c>
      <c r="V74" s="166">
        <f t="shared" si="24"/>
        <v>160.04999999999995</v>
      </c>
      <c r="W74" s="218"/>
      <c r="X74" s="363"/>
    </row>
    <row r="75" spans="1:24" s="6" customFormat="1" ht="18" hidden="1">
      <c r="A75" s="8"/>
      <c r="B75" s="131" t="s">
        <v>20</v>
      </c>
      <c r="C75" s="128" t="s">
        <v>21</v>
      </c>
      <c r="D75" s="34">
        <v>0</v>
      </c>
      <c r="E75" s="34">
        <v>0</v>
      </c>
      <c r="F75" s="141">
        <v>0</v>
      </c>
      <c r="G75" s="150">
        <f t="shared" si="23"/>
        <v>0</v>
      </c>
      <c r="H75" s="380" t="e">
        <f>F75/E75*100</f>
        <v>#DIV/0!</v>
      </c>
      <c r="I75" s="165">
        <f t="shared" si="25"/>
        <v>0</v>
      </c>
      <c r="J75" s="218" t="e">
        <f>F75/D75*100</f>
        <v>#DIV/0!</v>
      </c>
      <c r="K75" s="165"/>
      <c r="L75" s="165"/>
      <c r="M75" s="165"/>
      <c r="N75" s="165"/>
      <c r="O75" s="165"/>
      <c r="P75" s="218"/>
      <c r="Q75" s="166">
        <v>0</v>
      </c>
      <c r="R75" s="165">
        <f t="shared" si="5"/>
        <v>0</v>
      </c>
      <c r="S75" s="218" t="e">
        <f t="shared" si="28"/>
        <v>#DIV/0!</v>
      </c>
      <c r="T75" s="157">
        <f>E75-серпень!E63</f>
        <v>0</v>
      </c>
      <c r="U75" s="160">
        <f>F75-серпень!F63</f>
        <v>0</v>
      </c>
      <c r="V75" s="161">
        <f t="shared" si="24"/>
        <v>0</v>
      </c>
      <c r="W75" s="218" t="e">
        <f t="shared" si="29"/>
        <v>#DIV/0!</v>
      </c>
      <c r="X75" s="363" t="e">
        <f t="shared" si="18"/>
        <v>#DIV/0!</v>
      </c>
    </row>
    <row r="76" spans="1:24" s="6" customFormat="1" ht="44.25" customHeight="1">
      <c r="A76" s="8"/>
      <c r="B76" s="131" t="s">
        <v>43</v>
      </c>
      <c r="C76" s="43">
        <v>24061900</v>
      </c>
      <c r="D76" s="150">
        <v>160</v>
      </c>
      <c r="E76" s="150">
        <v>90</v>
      </c>
      <c r="F76" s="156">
        <v>142.18</v>
      </c>
      <c r="G76" s="150">
        <f t="shared" si="23"/>
        <v>52.18000000000001</v>
      </c>
      <c r="H76" s="380">
        <f>F76/E76</f>
        <v>1.579777777777778</v>
      </c>
      <c r="I76" s="165">
        <f t="shared" si="25"/>
        <v>-17.819999999999993</v>
      </c>
      <c r="J76" s="218">
        <f>F76/D76</f>
        <v>0.888625</v>
      </c>
      <c r="K76" s="165"/>
      <c r="L76" s="165"/>
      <c r="M76" s="165"/>
      <c r="N76" s="165">
        <v>226.72</v>
      </c>
      <c r="O76" s="165">
        <f>D76-N76</f>
        <v>-66.72</v>
      </c>
      <c r="P76" s="218">
        <f>D76/N76</f>
        <v>0.7057163020465773</v>
      </c>
      <c r="Q76" s="165">
        <v>158.93</v>
      </c>
      <c r="R76" s="165">
        <f t="shared" si="5"/>
        <v>-16.75</v>
      </c>
      <c r="S76" s="218">
        <f t="shared" si="28"/>
        <v>0.8946076889196501</v>
      </c>
      <c r="T76" s="157">
        <f>E76-жовтень!E64</f>
        <v>0</v>
      </c>
      <c r="U76" s="160">
        <f>F76-жовтень!F64</f>
        <v>22.60000000000001</v>
      </c>
      <c r="V76" s="161">
        <f t="shared" si="24"/>
        <v>22.60000000000001</v>
      </c>
      <c r="W76" s="218" t="e">
        <f t="shared" si="29"/>
        <v>#DIV/0!</v>
      </c>
      <c r="X76" s="363">
        <f t="shared" si="18"/>
        <v>0.18889138687307283</v>
      </c>
    </row>
    <row r="77" spans="1:24" s="6" customFormat="1" ht="18">
      <c r="A77" s="8"/>
      <c r="B77" s="131" t="s">
        <v>44</v>
      </c>
      <c r="C77" s="43">
        <v>31010200</v>
      </c>
      <c r="D77" s="150">
        <v>15</v>
      </c>
      <c r="E77" s="150">
        <v>13.8</v>
      </c>
      <c r="F77" s="156">
        <v>34.22</v>
      </c>
      <c r="G77" s="150">
        <f t="shared" si="23"/>
        <v>20.419999999999998</v>
      </c>
      <c r="H77" s="380">
        <f>F77/E77</f>
        <v>2.479710144927536</v>
      </c>
      <c r="I77" s="165">
        <f t="shared" si="25"/>
        <v>19.22</v>
      </c>
      <c r="J77" s="218">
        <f>F77/D77</f>
        <v>2.2813333333333334</v>
      </c>
      <c r="K77" s="165"/>
      <c r="L77" s="165"/>
      <c r="M77" s="165"/>
      <c r="N77" s="165">
        <v>13.52</v>
      </c>
      <c r="O77" s="165">
        <f>D77-N77</f>
        <v>1.4800000000000004</v>
      </c>
      <c r="P77" s="218">
        <f>D77/N77</f>
        <v>1.1094674556213018</v>
      </c>
      <c r="Q77" s="165">
        <v>13.52</v>
      </c>
      <c r="R77" s="165">
        <f t="shared" si="5"/>
        <v>20.7</v>
      </c>
      <c r="S77" s="218">
        <f t="shared" si="28"/>
        <v>2.5310650887573964</v>
      </c>
      <c r="T77" s="157">
        <f>E77-жовтень!E65</f>
        <v>1.200000000000001</v>
      </c>
      <c r="U77" s="160">
        <f>F77-жовтень!F65</f>
        <v>0</v>
      </c>
      <c r="V77" s="161">
        <f t="shared" si="24"/>
        <v>-1.200000000000001</v>
      </c>
      <c r="W77" s="218">
        <f t="shared" si="29"/>
        <v>0</v>
      </c>
      <c r="X77" s="363">
        <f t="shared" si="18"/>
        <v>1.4215976331360947</v>
      </c>
    </row>
    <row r="78" spans="1:24" s="6" customFormat="1" ht="30.75">
      <c r="A78" s="8"/>
      <c r="B78" s="131" t="s">
        <v>57</v>
      </c>
      <c r="C78" s="43">
        <v>31020000</v>
      </c>
      <c r="D78" s="150">
        <v>0</v>
      </c>
      <c r="E78" s="150">
        <v>0</v>
      </c>
      <c r="F78" s="156">
        <v>-5</v>
      </c>
      <c r="G78" s="150">
        <f t="shared" si="23"/>
        <v>-5</v>
      </c>
      <c r="H78" s="380" t="e">
        <f>F78/E78</f>
        <v>#DIV/0!</v>
      </c>
      <c r="I78" s="165">
        <f t="shared" si="25"/>
        <v>-5</v>
      </c>
      <c r="J78" s="218"/>
      <c r="K78" s="165"/>
      <c r="L78" s="165"/>
      <c r="M78" s="165"/>
      <c r="N78" s="165">
        <v>7.37</v>
      </c>
      <c r="O78" s="165">
        <f>D78-N78</f>
        <v>-7.37</v>
      </c>
      <c r="P78" s="218">
        <f>D78/N78</f>
        <v>0</v>
      </c>
      <c r="Q78" s="165">
        <v>1.07</v>
      </c>
      <c r="R78" s="165">
        <f t="shared" si="5"/>
        <v>-6.07</v>
      </c>
      <c r="S78" s="218">
        <f t="shared" si="28"/>
        <v>-4.672897196261682</v>
      </c>
      <c r="T78" s="157">
        <f>E78-жовтень!E66</f>
        <v>0</v>
      </c>
      <c r="U78" s="160">
        <f>F78-жовтень!F66</f>
        <v>0.03000000000000025</v>
      </c>
      <c r="V78" s="161">
        <f t="shared" si="24"/>
        <v>0.03000000000000025</v>
      </c>
      <c r="W78" s="218"/>
      <c r="X78" s="363">
        <f t="shared" si="18"/>
        <v>-4.672897196261682</v>
      </c>
    </row>
    <row r="79" spans="1:24" s="6" customFormat="1" ht="17.25">
      <c r="A79" s="9"/>
      <c r="B79" s="14" t="s">
        <v>184</v>
      </c>
      <c r="C79" s="62"/>
      <c r="D79" s="151">
        <f>D8+D53+D77+D78</f>
        <v>1357491.1</v>
      </c>
      <c r="E79" s="151">
        <f>E8+E53+E77+E78</f>
        <v>1244757.3</v>
      </c>
      <c r="F79" s="151">
        <f>F8+F53+F77+F78</f>
        <v>1244048.93</v>
      </c>
      <c r="G79" s="151">
        <f>F79-E79</f>
        <v>-708.3700000001118</v>
      </c>
      <c r="H79" s="377">
        <f>F79/E79</f>
        <v>0.9994309171755811</v>
      </c>
      <c r="I79" s="153">
        <f>F79-D79</f>
        <v>-113442.17000000016</v>
      </c>
      <c r="J79" s="219">
        <f>F79/D79</f>
        <v>0.9164324760582223</v>
      </c>
      <c r="K79" s="153"/>
      <c r="L79" s="153"/>
      <c r="M79" s="153"/>
      <c r="N79" s="153">
        <v>1053569.51</v>
      </c>
      <c r="O79" s="153">
        <f>D79-N79</f>
        <v>303921.5900000001</v>
      </c>
      <c r="P79" s="219">
        <f>D79/N79</f>
        <v>1.288468475136491</v>
      </c>
      <c r="Q79" s="151">
        <v>951701.01</v>
      </c>
      <c r="R79" s="153">
        <f>F79-Q79</f>
        <v>292347.9199999999</v>
      </c>
      <c r="S79" s="219">
        <f>F79/Q79</f>
        <v>1.3071846272391787</v>
      </c>
      <c r="T79" s="151">
        <f>T8+T53+T77+T78</f>
        <v>129986</v>
      </c>
      <c r="U79" s="151">
        <f>U8+U53+U77+U78</f>
        <v>112004.78000000003</v>
      </c>
      <c r="V79" s="194">
        <f>U79-T79</f>
        <v>-17981.219999999972</v>
      </c>
      <c r="W79" s="219">
        <f>U79/T79</f>
        <v>0.8616680257873927</v>
      </c>
      <c r="X79" s="363">
        <f t="shared" si="18"/>
        <v>0.018716152102687733</v>
      </c>
    </row>
    <row r="80" spans="1:24" s="48" customFormat="1" ht="17.25" hidden="1">
      <c r="A80" s="45"/>
      <c r="B80" s="55"/>
      <c r="C80" s="63"/>
      <c r="D80" s="46"/>
      <c r="E80" s="46"/>
      <c r="F80" s="82"/>
      <c r="G80" s="77"/>
      <c r="H80" s="381"/>
      <c r="I80" s="54"/>
      <c r="J80" s="96"/>
      <c r="K80" s="35"/>
      <c r="L80" s="35"/>
      <c r="M80" s="35"/>
      <c r="N80" s="35"/>
      <c r="O80" s="35"/>
      <c r="P80" s="96"/>
      <c r="Q80" s="35"/>
      <c r="R80" s="35"/>
      <c r="S80" s="35"/>
      <c r="T80" s="47"/>
      <c r="U80" s="46"/>
      <c r="V80" s="79"/>
      <c r="W80" s="96"/>
      <c r="X80" s="363">
        <f t="shared" si="18"/>
        <v>0</v>
      </c>
    </row>
    <row r="81" spans="1:24" s="48" customFormat="1" ht="17.25" hidden="1">
      <c r="A81" s="45"/>
      <c r="B81" s="56"/>
      <c r="C81" s="63"/>
      <c r="D81" s="57"/>
      <c r="E81" s="46"/>
      <c r="F81" s="82"/>
      <c r="G81" s="40"/>
      <c r="H81" s="381"/>
      <c r="I81" s="58"/>
      <c r="J81" s="96"/>
      <c r="K81" s="35"/>
      <c r="L81" s="35"/>
      <c r="M81" s="35"/>
      <c r="N81" s="35"/>
      <c r="O81" s="35"/>
      <c r="P81" s="96"/>
      <c r="Q81" s="35"/>
      <c r="R81" s="35"/>
      <c r="S81" s="35"/>
      <c r="T81" s="30"/>
      <c r="U81" s="46"/>
      <c r="V81" s="59"/>
      <c r="W81" s="96"/>
      <c r="X81" s="363">
        <f t="shared" si="18"/>
        <v>0</v>
      </c>
    </row>
    <row r="82" spans="1:24" s="48" customFormat="1" ht="17.25" hidden="1">
      <c r="A82" s="45"/>
      <c r="B82" s="56"/>
      <c r="C82" s="63"/>
      <c r="D82" s="57"/>
      <c r="E82" s="34"/>
      <c r="F82" s="111"/>
      <c r="G82" s="40"/>
      <c r="H82" s="381"/>
      <c r="I82" s="58"/>
      <c r="J82" s="96"/>
      <c r="K82" s="35"/>
      <c r="L82" s="35"/>
      <c r="M82" s="35"/>
      <c r="N82" s="35"/>
      <c r="O82" s="35"/>
      <c r="P82" s="96"/>
      <c r="Q82" s="35"/>
      <c r="R82" s="35"/>
      <c r="S82" s="35"/>
      <c r="T82" s="30"/>
      <c r="U82" s="57"/>
      <c r="V82" s="79"/>
      <c r="W82" s="96"/>
      <c r="X82" s="363">
        <f t="shared" si="18"/>
        <v>0</v>
      </c>
    </row>
    <row r="83" spans="2:24" ht="15">
      <c r="B83" s="22" t="s">
        <v>108</v>
      </c>
      <c r="C83" s="64"/>
      <c r="D83" s="24"/>
      <c r="E83" s="24"/>
      <c r="F83" s="142"/>
      <c r="G83" s="34"/>
      <c r="H83" s="382"/>
      <c r="I83" s="38"/>
      <c r="J83" s="97"/>
      <c r="K83" s="38"/>
      <c r="L83" s="38"/>
      <c r="M83" s="38"/>
      <c r="N83" s="38"/>
      <c r="O83" s="38"/>
      <c r="P83" s="97"/>
      <c r="Q83" s="38"/>
      <c r="R83" s="38"/>
      <c r="S83" s="38"/>
      <c r="T83" s="31"/>
      <c r="U83" s="146"/>
      <c r="V83" s="36"/>
      <c r="W83" s="97"/>
      <c r="X83" s="363">
        <f t="shared" si="18"/>
        <v>0</v>
      </c>
    </row>
    <row r="84" spans="2:24" ht="25.5" customHeight="1">
      <c r="B84" s="235" t="s">
        <v>100</v>
      </c>
      <c r="C84" s="135">
        <v>12020000</v>
      </c>
      <c r="D84" s="180">
        <v>0</v>
      </c>
      <c r="E84" s="180"/>
      <c r="F84" s="181">
        <v>0.01</v>
      </c>
      <c r="G84" s="162"/>
      <c r="H84" s="380"/>
      <c r="I84" s="167"/>
      <c r="J84" s="209"/>
      <c r="K84" s="167"/>
      <c r="L84" s="167"/>
      <c r="M84" s="167"/>
      <c r="N84" s="167"/>
      <c r="O84" s="167"/>
      <c r="P84" s="209"/>
      <c r="Q84" s="167">
        <v>0.01</v>
      </c>
      <c r="R84" s="167">
        <f>F84-Q84</f>
        <v>0</v>
      </c>
      <c r="S84" s="209">
        <f>F84/Q84</f>
        <v>1</v>
      </c>
      <c r="T84" s="162">
        <f>E84-квітень!E72</f>
        <v>0</v>
      </c>
      <c r="U84" s="182">
        <f>F84-квітень!F72</f>
        <v>0</v>
      </c>
      <c r="V84" s="167"/>
      <c r="W84" s="209"/>
      <c r="X84" s="363">
        <f t="shared" si="18"/>
        <v>1</v>
      </c>
    </row>
    <row r="85" spans="2:24" ht="31.5">
      <c r="B85" s="23" t="s">
        <v>62</v>
      </c>
      <c r="C85" s="73">
        <v>18041500</v>
      </c>
      <c r="D85" s="180">
        <v>0</v>
      </c>
      <c r="E85" s="180"/>
      <c r="F85" s="181">
        <v>-2.64</v>
      </c>
      <c r="G85" s="162">
        <f>F85-E85</f>
        <v>-2.64</v>
      </c>
      <c r="H85" s="380"/>
      <c r="I85" s="167">
        <f>F85-D85</f>
        <v>-2.64</v>
      </c>
      <c r="J85" s="209"/>
      <c r="K85" s="167"/>
      <c r="L85" s="167"/>
      <c r="M85" s="167"/>
      <c r="N85" s="167">
        <v>-10.19</v>
      </c>
      <c r="O85" s="167">
        <f>D85-N85</f>
        <v>10.19</v>
      </c>
      <c r="P85" s="209">
        <f>D85/N85</f>
        <v>0</v>
      </c>
      <c r="Q85" s="167">
        <v>-10.19</v>
      </c>
      <c r="R85" s="167">
        <f>F85-Q85</f>
        <v>7.549999999999999</v>
      </c>
      <c r="S85" s="209">
        <f>F85/Q85</f>
        <v>0.2590775269872424</v>
      </c>
      <c r="T85" s="162">
        <f>E85-жовтень!E73</f>
        <v>0</v>
      </c>
      <c r="U85" s="160">
        <f>F85-жовтень!F73</f>
        <v>0</v>
      </c>
      <c r="V85" s="167">
        <f>U85-T85</f>
        <v>0</v>
      </c>
      <c r="W85" s="209"/>
      <c r="X85" s="363">
        <f t="shared" si="18"/>
        <v>0.2590775269872424</v>
      </c>
    </row>
    <row r="86" spans="2:24" ht="17.25">
      <c r="B86" s="28" t="s">
        <v>45</v>
      </c>
      <c r="C86" s="74"/>
      <c r="D86" s="183">
        <f>D85</f>
        <v>0</v>
      </c>
      <c r="E86" s="183">
        <f>E85</f>
        <v>0</v>
      </c>
      <c r="F86" s="184">
        <f>SUM(F84:F85)</f>
        <v>-2.6300000000000003</v>
      </c>
      <c r="G86" s="185">
        <f>F86-E86</f>
        <v>-2.6300000000000003</v>
      </c>
      <c r="H86" s="383"/>
      <c r="I86" s="187">
        <f>F86-D86</f>
        <v>-2.6300000000000003</v>
      </c>
      <c r="J86" s="214"/>
      <c r="K86" s="187"/>
      <c r="L86" s="187"/>
      <c r="M86" s="187"/>
      <c r="N86" s="187">
        <v>-10.18</v>
      </c>
      <c r="O86" s="187">
        <f>D86-N86</f>
        <v>10.18</v>
      </c>
      <c r="P86" s="214">
        <f>D86/N86</f>
        <v>0</v>
      </c>
      <c r="Q86" s="187">
        <v>-10.18</v>
      </c>
      <c r="R86" s="187">
        <f aca="true" t="shared" si="30" ref="R86:R98">F86-Q86</f>
        <v>7.549999999999999</v>
      </c>
      <c r="S86" s="214">
        <f aca="true" t="shared" si="31" ref="S86:S101">F86/Q86</f>
        <v>0.25834970530451873</v>
      </c>
      <c r="T86" s="185">
        <f>SUM(T84:T85)</f>
        <v>0</v>
      </c>
      <c r="U86" s="188">
        <f>SUM(U84:U85)</f>
        <v>0</v>
      </c>
      <c r="V86" s="187">
        <f>U86-T86</f>
        <v>0</v>
      </c>
      <c r="W86" s="214"/>
      <c r="X86" s="363">
        <f t="shared" si="18"/>
        <v>0.25834970530451873</v>
      </c>
    </row>
    <row r="87" spans="2:24" ht="45.75">
      <c r="B87" s="28" t="s">
        <v>37</v>
      </c>
      <c r="C87" s="135">
        <v>21110000</v>
      </c>
      <c r="D87" s="183">
        <v>0</v>
      </c>
      <c r="E87" s="183">
        <v>0</v>
      </c>
      <c r="F87" s="184">
        <v>35.57</v>
      </c>
      <c r="G87" s="185">
        <f aca="true" t="shared" si="32" ref="G87:G98">F87-E87</f>
        <v>35.57</v>
      </c>
      <c r="H87" s="383"/>
      <c r="I87" s="187">
        <f>F87-D87</f>
        <v>35.57</v>
      </c>
      <c r="J87" s="214"/>
      <c r="K87" s="187"/>
      <c r="L87" s="187"/>
      <c r="M87" s="187"/>
      <c r="N87" s="187">
        <v>0</v>
      </c>
      <c r="O87" s="187">
        <f aca="true" t="shared" si="33" ref="O87:O98">D87-N87</f>
        <v>0</v>
      </c>
      <c r="P87" s="214" t="e">
        <f aca="true" t="shared" si="34" ref="P87:P98">D87/N87</f>
        <v>#DIV/0!</v>
      </c>
      <c r="Q87" s="187">
        <v>0</v>
      </c>
      <c r="R87" s="187">
        <f t="shared" si="30"/>
        <v>35.57</v>
      </c>
      <c r="S87" s="209"/>
      <c r="T87" s="186">
        <f>E87-жовтень!E75</f>
        <v>0</v>
      </c>
      <c r="U87" s="289">
        <f>F87-жовтень!F75</f>
        <v>0</v>
      </c>
      <c r="V87" s="187">
        <f aca="true" t="shared" si="35" ref="V87:V98">U87-T87</f>
        <v>0</v>
      </c>
      <c r="W87" s="214"/>
      <c r="X87" s="363"/>
    </row>
    <row r="88" spans="2:24" ht="31.5">
      <c r="B88" s="23" t="s">
        <v>29</v>
      </c>
      <c r="C88" s="73">
        <v>31030000</v>
      </c>
      <c r="D88" s="180">
        <v>74458.74</v>
      </c>
      <c r="E88" s="180">
        <v>55843.51</v>
      </c>
      <c r="F88" s="181">
        <v>938.1</v>
      </c>
      <c r="G88" s="162">
        <f t="shared" si="32"/>
        <v>-54905.41</v>
      </c>
      <c r="H88" s="380">
        <f>F88/E88</f>
        <v>0.01679872916297704</v>
      </c>
      <c r="I88" s="167">
        <f>F88-D88</f>
        <v>-73520.64</v>
      </c>
      <c r="J88" s="209">
        <f>F88/D88</f>
        <v>0.0125989239141033</v>
      </c>
      <c r="K88" s="167"/>
      <c r="L88" s="167"/>
      <c r="M88" s="167"/>
      <c r="N88" s="167">
        <v>4618.99</v>
      </c>
      <c r="O88" s="167">
        <f t="shared" si="33"/>
        <v>69839.75</v>
      </c>
      <c r="P88" s="209">
        <f t="shared" si="34"/>
        <v>16.12013448827558</v>
      </c>
      <c r="Q88" s="167">
        <v>2260.63</v>
      </c>
      <c r="R88" s="167">
        <f t="shared" si="30"/>
        <v>-1322.5300000000002</v>
      </c>
      <c r="S88" s="209">
        <f t="shared" si="31"/>
        <v>0.41497281731198826</v>
      </c>
      <c r="T88" s="157">
        <f>E88-жовтень!E76</f>
        <v>-2805.5999999999985</v>
      </c>
      <c r="U88" s="160">
        <f>F88-жовтень!F76</f>
        <v>0.07000000000005002</v>
      </c>
      <c r="V88" s="167">
        <f t="shared" si="35"/>
        <v>2805.6699999999987</v>
      </c>
      <c r="W88" s="209">
        <f>U88/T88</f>
        <v>-2.4950099800417045E-05</v>
      </c>
      <c r="X88" s="363">
        <f t="shared" si="18"/>
        <v>-15.70516167096359</v>
      </c>
    </row>
    <row r="89" spans="2:24" ht="18">
      <c r="B89" s="23" t="s">
        <v>30</v>
      </c>
      <c r="C89" s="73">
        <v>33010000</v>
      </c>
      <c r="D89" s="180">
        <f>8000+46000</f>
        <v>54000</v>
      </c>
      <c r="E89" s="180">
        <v>33630</v>
      </c>
      <c r="F89" s="181">
        <v>7834.49</v>
      </c>
      <c r="G89" s="162">
        <f t="shared" si="32"/>
        <v>-25795.510000000002</v>
      </c>
      <c r="H89" s="380">
        <f>F89/E89</f>
        <v>0.23296134403806124</v>
      </c>
      <c r="I89" s="167">
        <f aca="true" t="shared" si="36" ref="I89:I98">F89-D89</f>
        <v>-46165.51</v>
      </c>
      <c r="J89" s="209">
        <f>F89/D89</f>
        <v>0.14508314814814816</v>
      </c>
      <c r="K89" s="167"/>
      <c r="L89" s="167"/>
      <c r="M89" s="167"/>
      <c r="N89" s="167">
        <v>10435.77</v>
      </c>
      <c r="O89" s="167">
        <f t="shared" si="33"/>
        <v>43564.229999999996</v>
      </c>
      <c r="P89" s="209">
        <f t="shared" si="34"/>
        <v>5.174510361956999</v>
      </c>
      <c r="Q89" s="167">
        <v>7293.63</v>
      </c>
      <c r="R89" s="167">
        <f t="shared" si="30"/>
        <v>540.8599999999997</v>
      </c>
      <c r="S89" s="209">
        <f t="shared" si="31"/>
        <v>1.0741551189188374</v>
      </c>
      <c r="T89" s="157">
        <f>E89-жовтень!E77</f>
        <v>3600</v>
      </c>
      <c r="U89" s="160">
        <f>F89-жовтень!F77</f>
        <v>251.28999999999996</v>
      </c>
      <c r="V89" s="167">
        <f t="shared" si="35"/>
        <v>-3348.71</v>
      </c>
      <c r="W89" s="209">
        <f>U89/T89</f>
        <v>0.06980277777777777</v>
      </c>
      <c r="X89" s="363">
        <f t="shared" si="18"/>
        <v>-4.100355243038162</v>
      </c>
    </row>
    <row r="90" spans="2:24" ht="31.5">
      <c r="B90" s="23" t="s">
        <v>54</v>
      </c>
      <c r="C90" s="73">
        <v>24170000</v>
      </c>
      <c r="D90" s="180">
        <f>10000+69000</f>
        <v>79000</v>
      </c>
      <c r="E90" s="180">
        <v>55300</v>
      </c>
      <c r="F90" s="181">
        <v>15694.71</v>
      </c>
      <c r="G90" s="162">
        <f t="shared" si="32"/>
        <v>-39605.29</v>
      </c>
      <c r="H90" s="380">
        <f>F90/E90</f>
        <v>0.28381030741410485</v>
      </c>
      <c r="I90" s="167">
        <f t="shared" si="36"/>
        <v>-63305.29</v>
      </c>
      <c r="J90" s="209">
        <f>F90/D90</f>
        <v>0.1986672151898734</v>
      </c>
      <c r="K90" s="167"/>
      <c r="L90" s="167"/>
      <c r="M90" s="167"/>
      <c r="N90" s="167">
        <v>12593.19</v>
      </c>
      <c r="O90" s="167">
        <f t="shared" si="33"/>
        <v>66406.81</v>
      </c>
      <c r="P90" s="209">
        <f t="shared" si="34"/>
        <v>6.273231802267733</v>
      </c>
      <c r="Q90" s="167">
        <v>12375.13</v>
      </c>
      <c r="R90" s="167">
        <f t="shared" si="30"/>
        <v>3319.58</v>
      </c>
      <c r="S90" s="209">
        <f t="shared" si="31"/>
        <v>1.2682460709503658</v>
      </c>
      <c r="T90" s="157">
        <f>E90-жовтень!E78</f>
        <v>23700</v>
      </c>
      <c r="U90" s="160">
        <f>F90-жовтень!F78</f>
        <v>805.3999999999996</v>
      </c>
      <c r="V90" s="167">
        <f t="shared" si="35"/>
        <v>-22894.6</v>
      </c>
      <c r="W90" s="209">
        <f>U90/T90</f>
        <v>0.033983122362869184</v>
      </c>
      <c r="X90" s="363">
        <f t="shared" si="18"/>
        <v>-5.004985731317367</v>
      </c>
    </row>
    <row r="91" spans="2:24" ht="18">
      <c r="B91" s="23" t="s">
        <v>101</v>
      </c>
      <c r="C91" s="73">
        <v>24110700</v>
      </c>
      <c r="D91" s="180">
        <v>12</v>
      </c>
      <c r="E91" s="180">
        <v>11</v>
      </c>
      <c r="F91" s="181">
        <v>13</v>
      </c>
      <c r="G91" s="162">
        <f t="shared" si="32"/>
        <v>2</v>
      </c>
      <c r="H91" s="380">
        <f>F91/E91</f>
        <v>1.1818181818181819</v>
      </c>
      <c r="I91" s="167">
        <f t="shared" si="36"/>
        <v>1</v>
      </c>
      <c r="J91" s="209">
        <f>F91/D91</f>
        <v>1.0833333333333333</v>
      </c>
      <c r="K91" s="167"/>
      <c r="L91" s="167"/>
      <c r="M91" s="167"/>
      <c r="N91" s="167">
        <v>13</v>
      </c>
      <c r="O91" s="167">
        <f t="shared" si="33"/>
        <v>-1</v>
      </c>
      <c r="P91" s="209">
        <f t="shared" si="34"/>
        <v>0.9230769230769231</v>
      </c>
      <c r="Q91" s="167">
        <v>12</v>
      </c>
      <c r="R91" s="167">
        <f t="shared" si="30"/>
        <v>1</v>
      </c>
      <c r="S91" s="209">
        <f t="shared" si="31"/>
        <v>1.0833333333333333</v>
      </c>
      <c r="T91" s="157">
        <f>E91-жовтень!E79</f>
        <v>1</v>
      </c>
      <c r="U91" s="160">
        <f>F91-жовтень!F79</f>
        <v>1</v>
      </c>
      <c r="V91" s="167">
        <f t="shared" si="35"/>
        <v>0</v>
      </c>
      <c r="W91" s="209">
        <f>U91/T91</f>
        <v>1</v>
      </c>
      <c r="X91" s="363">
        <f t="shared" si="18"/>
        <v>0.16025641025641013</v>
      </c>
    </row>
    <row r="92" spans="2:24" ht="33">
      <c r="B92" s="28" t="s">
        <v>51</v>
      </c>
      <c r="C92" s="65"/>
      <c r="D92" s="183">
        <f>D88+D89+D90+D91</f>
        <v>207470.74</v>
      </c>
      <c r="E92" s="183">
        <f>E88+E89+E90+E91</f>
        <v>144784.51</v>
      </c>
      <c r="F92" s="184">
        <f>F88+F89+F90+F91</f>
        <v>24480.3</v>
      </c>
      <c r="G92" s="185">
        <f t="shared" si="32"/>
        <v>-120304.21</v>
      </c>
      <c r="H92" s="383">
        <f>F92/E92</f>
        <v>0.1690809327600031</v>
      </c>
      <c r="I92" s="187">
        <f t="shared" si="36"/>
        <v>-182990.44</v>
      </c>
      <c r="J92" s="214">
        <f>F92/D92</f>
        <v>0.11799398797150866</v>
      </c>
      <c r="K92" s="187"/>
      <c r="L92" s="187"/>
      <c r="M92" s="187"/>
      <c r="N92" s="187">
        <v>27660.95</v>
      </c>
      <c r="O92" s="187">
        <f t="shared" si="33"/>
        <v>179809.78999999998</v>
      </c>
      <c r="P92" s="214">
        <f t="shared" si="34"/>
        <v>7.500492210137395</v>
      </c>
      <c r="Q92" s="187">
        <v>21941.39</v>
      </c>
      <c r="R92" s="167">
        <f t="shared" si="30"/>
        <v>2538.91</v>
      </c>
      <c r="S92" s="209">
        <f t="shared" si="31"/>
        <v>1.1157132706724597</v>
      </c>
      <c r="T92" s="185">
        <f>T88+T89+T90+T91</f>
        <v>24495.4</v>
      </c>
      <c r="U92" s="189">
        <f>U88+U89+U90+U91</f>
        <v>1057.7599999999998</v>
      </c>
      <c r="V92" s="187">
        <f t="shared" si="35"/>
        <v>-23437.640000000003</v>
      </c>
      <c r="W92" s="214">
        <f>U92/T92</f>
        <v>0.043181985189055895</v>
      </c>
      <c r="X92" s="363">
        <f t="shared" si="18"/>
        <v>-6.384778939464935</v>
      </c>
    </row>
    <row r="93" spans="2:24" ht="46.5">
      <c r="B93" s="12" t="s">
        <v>40</v>
      </c>
      <c r="C93" s="75">
        <v>24062100</v>
      </c>
      <c r="D93" s="180">
        <v>40</v>
      </c>
      <c r="E93" s="180">
        <v>34</v>
      </c>
      <c r="F93" s="181">
        <v>49.17</v>
      </c>
      <c r="G93" s="162">
        <f t="shared" si="32"/>
        <v>15.170000000000002</v>
      </c>
      <c r="H93" s="380"/>
      <c r="I93" s="167">
        <f t="shared" si="36"/>
        <v>9.170000000000002</v>
      </c>
      <c r="J93" s="209"/>
      <c r="K93" s="167"/>
      <c r="L93" s="167"/>
      <c r="M93" s="167"/>
      <c r="N93" s="167">
        <v>69.99</v>
      </c>
      <c r="O93" s="167">
        <f t="shared" si="33"/>
        <v>-29.989999999999995</v>
      </c>
      <c r="P93" s="209">
        <f t="shared" si="34"/>
        <v>0.5715102157451065</v>
      </c>
      <c r="Q93" s="167">
        <v>53.94</v>
      </c>
      <c r="R93" s="167">
        <f t="shared" si="30"/>
        <v>-4.769999999999996</v>
      </c>
      <c r="S93" s="209">
        <f t="shared" si="31"/>
        <v>0.9115684093437153</v>
      </c>
      <c r="T93" s="157">
        <f>E93-жовтень!E81</f>
        <v>15</v>
      </c>
      <c r="U93" s="160">
        <f>F93-жовтень!F81</f>
        <v>11.030000000000001</v>
      </c>
      <c r="V93" s="167">
        <f t="shared" si="35"/>
        <v>-3.969999999999999</v>
      </c>
      <c r="W93" s="209"/>
      <c r="X93" s="363">
        <f t="shared" si="18"/>
        <v>0.3400581935986088</v>
      </c>
    </row>
    <row r="94" spans="2:24" ht="18" hidden="1">
      <c r="B94" s="236" t="s">
        <v>52</v>
      </c>
      <c r="C94" s="73">
        <v>24061600</v>
      </c>
      <c r="D94" s="180">
        <v>0</v>
      </c>
      <c r="E94" s="180">
        <v>0</v>
      </c>
      <c r="F94" s="181">
        <v>0</v>
      </c>
      <c r="G94" s="162">
        <f t="shared" si="32"/>
        <v>0</v>
      </c>
      <c r="H94" s="380"/>
      <c r="I94" s="167">
        <f t="shared" si="36"/>
        <v>0</v>
      </c>
      <c r="J94" s="391"/>
      <c r="K94" s="190"/>
      <c r="L94" s="190"/>
      <c r="M94" s="190"/>
      <c r="N94" s="190"/>
      <c r="O94" s="167">
        <f t="shared" si="33"/>
        <v>0</v>
      </c>
      <c r="P94" s="209" t="e">
        <f t="shared" si="34"/>
        <v>#DIV/0!</v>
      </c>
      <c r="Q94" s="167">
        <v>0</v>
      </c>
      <c r="R94" s="167">
        <f t="shared" si="30"/>
        <v>0</v>
      </c>
      <c r="S94" s="209" t="e">
        <f t="shared" si="31"/>
        <v>#DIV/0!</v>
      </c>
      <c r="T94" s="157">
        <f>E94-жовтень!E82</f>
        <v>0</v>
      </c>
      <c r="U94" s="160">
        <f>F94-жовтень!F82</f>
        <v>0</v>
      </c>
      <c r="V94" s="167">
        <f t="shared" si="35"/>
        <v>0</v>
      </c>
      <c r="W94" s="391"/>
      <c r="X94" s="363" t="e">
        <f t="shared" si="18"/>
        <v>#DIV/0!</v>
      </c>
    </row>
    <row r="95" spans="2:24" ht="18">
      <c r="B95" s="23" t="s">
        <v>46</v>
      </c>
      <c r="C95" s="73">
        <v>19010000</v>
      </c>
      <c r="D95" s="180">
        <v>8360</v>
      </c>
      <c r="E95" s="180">
        <v>8359.5</v>
      </c>
      <c r="F95" s="181">
        <v>8032.9</v>
      </c>
      <c r="G95" s="162">
        <f t="shared" si="32"/>
        <v>-326.60000000000036</v>
      </c>
      <c r="H95" s="380">
        <f>F95/E95</f>
        <v>0.9609306776721095</v>
      </c>
      <c r="I95" s="167">
        <f t="shared" si="36"/>
        <v>-327.10000000000036</v>
      </c>
      <c r="J95" s="209">
        <f>F95/D95</f>
        <v>0.9608732057416267</v>
      </c>
      <c r="K95" s="167"/>
      <c r="L95" s="167"/>
      <c r="M95" s="167"/>
      <c r="N95" s="167">
        <v>8352.68</v>
      </c>
      <c r="O95" s="167">
        <f t="shared" si="33"/>
        <v>7.319999999999709</v>
      </c>
      <c r="P95" s="209">
        <f t="shared" si="34"/>
        <v>1.0008763654300177</v>
      </c>
      <c r="Q95" s="167">
        <v>8350.66</v>
      </c>
      <c r="R95" s="167">
        <f t="shared" si="30"/>
        <v>-317.7600000000002</v>
      </c>
      <c r="S95" s="209">
        <f t="shared" si="31"/>
        <v>0.9619479178891249</v>
      </c>
      <c r="T95" s="157">
        <f>E95-жовтень!E83</f>
        <v>1959.5</v>
      </c>
      <c r="U95" s="160">
        <f>F95-жовтень!F83</f>
        <v>1239.9699999999993</v>
      </c>
      <c r="V95" s="167">
        <f t="shared" si="35"/>
        <v>-719.5300000000007</v>
      </c>
      <c r="W95" s="209">
        <f>U95/T95</f>
        <v>0.6327991834651694</v>
      </c>
      <c r="X95" s="363">
        <f t="shared" si="18"/>
        <v>-0.03892844754089275</v>
      </c>
    </row>
    <row r="96" spans="2:24" ht="31.5">
      <c r="B96" s="23" t="s">
        <v>50</v>
      </c>
      <c r="C96" s="73">
        <v>19050000</v>
      </c>
      <c r="D96" s="180">
        <v>0</v>
      </c>
      <c r="E96" s="180"/>
      <c r="F96" s="181">
        <v>0.1</v>
      </c>
      <c r="G96" s="162">
        <f t="shared" si="32"/>
        <v>0.1</v>
      </c>
      <c r="H96" s="380"/>
      <c r="I96" s="167">
        <f t="shared" si="36"/>
        <v>0.1</v>
      </c>
      <c r="J96" s="209"/>
      <c r="K96" s="167"/>
      <c r="L96" s="167"/>
      <c r="M96" s="167"/>
      <c r="N96" s="167">
        <v>1.48</v>
      </c>
      <c r="O96" s="167">
        <f t="shared" si="33"/>
        <v>-1.48</v>
      </c>
      <c r="P96" s="209">
        <f t="shared" si="34"/>
        <v>0</v>
      </c>
      <c r="Q96" s="167">
        <v>1.48</v>
      </c>
      <c r="R96" s="167">
        <f t="shared" si="30"/>
        <v>-1.38</v>
      </c>
      <c r="S96" s="209">
        <f t="shared" si="31"/>
        <v>0.06756756756756757</v>
      </c>
      <c r="T96" s="157">
        <f>E96-жовтень!E84</f>
        <v>0</v>
      </c>
      <c r="U96" s="160">
        <f>F96-жовтень!F84</f>
        <v>0.020000000000000004</v>
      </c>
      <c r="V96" s="167">
        <f t="shared" si="35"/>
        <v>0.020000000000000004</v>
      </c>
      <c r="W96" s="391"/>
      <c r="X96" s="363">
        <f t="shared" si="18"/>
        <v>0.06756756756756757</v>
      </c>
    </row>
    <row r="97" spans="2:24" ht="30.75">
      <c r="B97" s="28" t="s">
        <v>47</v>
      </c>
      <c r="C97" s="73"/>
      <c r="D97" s="183">
        <f>D93+D96+D94+D95</f>
        <v>8400</v>
      </c>
      <c r="E97" s="183">
        <f>E93+E96+E94+E95</f>
        <v>8393.5</v>
      </c>
      <c r="F97" s="184">
        <f>F93+F96+F94+F95</f>
        <v>8082.17</v>
      </c>
      <c r="G97" s="185">
        <f t="shared" si="32"/>
        <v>-311.3299999999999</v>
      </c>
      <c r="H97" s="383">
        <f>F97/E97</f>
        <v>0.9629082027759576</v>
      </c>
      <c r="I97" s="187">
        <f t="shared" si="36"/>
        <v>-317.8299999999999</v>
      </c>
      <c r="J97" s="214">
        <f>F97/D97</f>
        <v>0.9621630952380953</v>
      </c>
      <c r="K97" s="187"/>
      <c r="L97" s="187"/>
      <c r="M97" s="187"/>
      <c r="N97" s="187">
        <v>8424.15</v>
      </c>
      <c r="O97" s="187">
        <f t="shared" si="33"/>
        <v>-24.149999999999636</v>
      </c>
      <c r="P97" s="214">
        <f t="shared" si="34"/>
        <v>0.9971332419294529</v>
      </c>
      <c r="Q97" s="187">
        <v>8406.08</v>
      </c>
      <c r="R97" s="167">
        <f t="shared" si="30"/>
        <v>-323.90999999999985</v>
      </c>
      <c r="S97" s="209">
        <f t="shared" si="31"/>
        <v>0.9614671761391754</v>
      </c>
      <c r="T97" s="185">
        <f>T93+T96+T94+T95</f>
        <v>1974.5</v>
      </c>
      <c r="U97" s="189">
        <f>U93+U96+U94+U95</f>
        <v>1251.0199999999993</v>
      </c>
      <c r="V97" s="187">
        <f t="shared" si="35"/>
        <v>-723.4800000000007</v>
      </c>
      <c r="W97" s="214">
        <f>U97/T97</f>
        <v>0.6335882501899212</v>
      </c>
      <c r="X97" s="363">
        <f t="shared" si="18"/>
        <v>-0.035666065790277424</v>
      </c>
    </row>
    <row r="98" spans="2:24" ht="30.75">
      <c r="B98" s="12" t="s">
        <v>41</v>
      </c>
      <c r="C98" s="43">
        <v>24110900</v>
      </c>
      <c r="D98" s="180">
        <v>38</v>
      </c>
      <c r="E98" s="180">
        <v>38</v>
      </c>
      <c r="F98" s="181">
        <v>29.03</v>
      </c>
      <c r="G98" s="162">
        <f t="shared" si="32"/>
        <v>-8.969999999999999</v>
      </c>
      <c r="H98" s="380">
        <f>F98/E98</f>
        <v>0.7639473684210527</v>
      </c>
      <c r="I98" s="167">
        <f t="shared" si="36"/>
        <v>-8.969999999999999</v>
      </c>
      <c r="J98" s="209">
        <f>F98/D98</f>
        <v>0.7639473684210527</v>
      </c>
      <c r="K98" s="167"/>
      <c r="L98" s="167"/>
      <c r="M98" s="167"/>
      <c r="N98" s="167">
        <v>35.33</v>
      </c>
      <c r="O98" s="167">
        <f t="shared" si="33"/>
        <v>2.6700000000000017</v>
      </c>
      <c r="P98" s="209">
        <f t="shared" si="34"/>
        <v>1.075573167279932</v>
      </c>
      <c r="Q98" s="187">
        <v>27.79</v>
      </c>
      <c r="R98" s="167">
        <f t="shared" si="30"/>
        <v>1.240000000000002</v>
      </c>
      <c r="S98" s="209">
        <f t="shared" si="31"/>
        <v>1.044620367038503</v>
      </c>
      <c r="T98" s="157">
        <f>E98-жовтень!E86</f>
        <v>2.700000000000003</v>
      </c>
      <c r="U98" s="160">
        <f>F98-жовтень!F86</f>
        <v>1.7800000000000011</v>
      </c>
      <c r="V98" s="167">
        <f t="shared" si="35"/>
        <v>-0.9200000000000017</v>
      </c>
      <c r="W98" s="209">
        <f>U98/T98</f>
        <v>0.659259259259259</v>
      </c>
      <c r="X98" s="363">
        <f t="shared" si="18"/>
        <v>-0.03095280024142899</v>
      </c>
    </row>
    <row r="99" spans="2:24" ht="18" hidden="1">
      <c r="B99" s="122"/>
      <c r="C99" s="43">
        <v>21110000</v>
      </c>
      <c r="D99" s="180">
        <v>0</v>
      </c>
      <c r="E99" s="180">
        <v>0</v>
      </c>
      <c r="F99" s="181"/>
      <c r="G99" s="162" t="e">
        <f>#N/A</f>
        <v>#N/A</v>
      </c>
      <c r="H99" s="380"/>
      <c r="I99" s="167" t="e">
        <f>#N/A</f>
        <v>#N/A</v>
      </c>
      <c r="J99" s="209"/>
      <c r="K99" s="167"/>
      <c r="L99" s="167"/>
      <c r="M99" s="167"/>
      <c r="N99" s="167"/>
      <c r="O99" s="167"/>
      <c r="P99" s="209"/>
      <c r="Q99" s="167">
        <v>18.76</v>
      </c>
      <c r="R99" s="187" t="e">
        <f>#N/A</f>
        <v>#N/A</v>
      </c>
      <c r="S99" s="209">
        <f t="shared" si="31"/>
        <v>0</v>
      </c>
      <c r="T99" s="164">
        <f>E99-квітень!E87</f>
        <v>0</v>
      </c>
      <c r="U99" s="168">
        <f>F99-квітень!F87</f>
        <v>0</v>
      </c>
      <c r="V99" s="167" t="e">
        <f>#N/A</f>
        <v>#N/A</v>
      </c>
      <c r="W99" s="209"/>
      <c r="X99" s="363">
        <f t="shared" si="18"/>
        <v>0</v>
      </c>
    </row>
    <row r="100" spans="2:24" ht="23.25" customHeight="1">
      <c r="B100" s="306" t="s">
        <v>31</v>
      </c>
      <c r="C100" s="307"/>
      <c r="D100" s="308">
        <f>D86+D87+D92+D97+D98</f>
        <v>215908.74</v>
      </c>
      <c r="E100" s="308">
        <f>E86+E87+E92+E97+E98</f>
        <v>153216.01</v>
      </c>
      <c r="F100" s="308">
        <f>F86+F87+F92+F97+F98</f>
        <v>32624.439999999995</v>
      </c>
      <c r="G100" s="309">
        <f>F100-E100</f>
        <v>-120591.57</v>
      </c>
      <c r="H100" s="384">
        <f>F100/E100</f>
        <v>0.21293101158292788</v>
      </c>
      <c r="I100" s="301">
        <f>F100-D100</f>
        <v>-183284.3</v>
      </c>
      <c r="J100" s="302">
        <f>F100/D100</f>
        <v>0.15110291505568507</v>
      </c>
      <c r="K100" s="301"/>
      <c r="L100" s="301"/>
      <c r="M100" s="301"/>
      <c r="N100" s="301">
        <v>36110.25</v>
      </c>
      <c r="O100" s="301">
        <f>D100-N100</f>
        <v>179798.49</v>
      </c>
      <c r="P100" s="302">
        <f>D100/N100</f>
        <v>5.979153841360832</v>
      </c>
      <c r="Q100" s="308">
        <v>30365.08</v>
      </c>
      <c r="R100" s="301">
        <f>F100-Q100</f>
        <v>2259.3599999999933</v>
      </c>
      <c r="S100" s="302">
        <f t="shared" si="31"/>
        <v>1.074406522228823</v>
      </c>
      <c r="T100" s="308">
        <f>T86+T87+T92+T97+T98</f>
        <v>26472.600000000002</v>
      </c>
      <c r="U100" s="308">
        <f>U86+U87+U92+U97+U98</f>
        <v>2310.559999999999</v>
      </c>
      <c r="V100" s="301">
        <f>U100-T100</f>
        <v>-24162.040000000005</v>
      </c>
      <c r="W100" s="302">
        <f>U100/T100</f>
        <v>0.08728118885186943</v>
      </c>
      <c r="X100" s="363">
        <f aca="true" t="shared" si="37" ref="X100:X161">S100-P100</f>
        <v>-4.904747319132008</v>
      </c>
    </row>
    <row r="101" spans="2:24" ht="17.25">
      <c r="B101" s="311" t="s">
        <v>182</v>
      </c>
      <c r="C101" s="307"/>
      <c r="D101" s="308">
        <f>D79+D100</f>
        <v>1573399.84</v>
      </c>
      <c r="E101" s="308">
        <f>E79+E100</f>
        <v>1397973.31</v>
      </c>
      <c r="F101" s="308">
        <f>F79+F100</f>
        <v>1276673.3699999999</v>
      </c>
      <c r="G101" s="309">
        <f>F101-E101</f>
        <v>-121299.94000000018</v>
      </c>
      <c r="H101" s="384">
        <f>F101/E101</f>
        <v>0.9132315766457657</v>
      </c>
      <c r="I101" s="301">
        <f>F101-D101</f>
        <v>-296726.4700000002</v>
      </c>
      <c r="J101" s="302">
        <f>F101/D101</f>
        <v>0.8114106392689094</v>
      </c>
      <c r="K101" s="301"/>
      <c r="L101" s="301"/>
      <c r="M101" s="301"/>
      <c r="N101" s="301">
        <v>1089679.76</v>
      </c>
      <c r="O101" s="301">
        <f>D101-N101</f>
        <v>483720.0800000001</v>
      </c>
      <c r="P101" s="302">
        <f>D101/N101</f>
        <v>1.443910309942804</v>
      </c>
      <c r="Q101" s="301">
        <f>Q79+Q100</f>
        <v>982066.09</v>
      </c>
      <c r="R101" s="301">
        <f>R79+R100</f>
        <v>294607.2799999999</v>
      </c>
      <c r="S101" s="302">
        <f t="shared" si="31"/>
        <v>1.299987223874108</v>
      </c>
      <c r="T101" s="309">
        <f>T79+T100</f>
        <v>156458.6</v>
      </c>
      <c r="U101" s="309">
        <f>U79+U100</f>
        <v>114315.34000000003</v>
      </c>
      <c r="V101" s="301">
        <f>U101-T101</f>
        <v>-42143.25999999998</v>
      </c>
      <c r="W101" s="302">
        <f>U101/T101</f>
        <v>0.7306427387181019</v>
      </c>
      <c r="X101" s="363">
        <f t="shared" si="37"/>
        <v>-0.14392308606869597</v>
      </c>
    </row>
    <row r="102" spans="2:24" ht="15">
      <c r="B102" s="20" t="s">
        <v>34</v>
      </c>
      <c r="U102" s="25"/>
      <c r="X102" s="363">
        <f t="shared" si="37"/>
        <v>0</v>
      </c>
    </row>
    <row r="103" spans="2:24" ht="15">
      <c r="B103" s="4" t="s">
        <v>36</v>
      </c>
      <c r="C103" s="76">
        <v>2</v>
      </c>
      <c r="D103" s="4" t="s">
        <v>35</v>
      </c>
      <c r="U103" s="78"/>
      <c r="X103" s="363">
        <f t="shared" si="37"/>
        <v>0</v>
      </c>
    </row>
    <row r="104" spans="2:24" ht="30.75">
      <c r="B104" s="52" t="s">
        <v>53</v>
      </c>
      <c r="C104" s="29">
        <f>IF(V79&lt;0,ABS(V79/C103),0)</f>
        <v>8990.609999999986</v>
      </c>
      <c r="D104" s="4" t="s">
        <v>24</v>
      </c>
      <c r="G104" s="424"/>
      <c r="H104" s="424"/>
      <c r="I104" s="424"/>
      <c r="J104" s="424"/>
      <c r="K104" s="84"/>
      <c r="L104" s="84"/>
      <c r="M104" s="84"/>
      <c r="N104" s="84"/>
      <c r="O104" s="84"/>
      <c r="P104" s="342"/>
      <c r="Q104" s="84"/>
      <c r="R104" s="84"/>
      <c r="S104" s="84"/>
      <c r="W104" s="25"/>
      <c r="X104" s="363">
        <f t="shared" si="37"/>
        <v>0</v>
      </c>
    </row>
    <row r="105" spans="2:24" ht="34.5" customHeight="1">
      <c r="B105" s="53" t="s">
        <v>55</v>
      </c>
      <c r="C105" s="81">
        <v>43067</v>
      </c>
      <c r="D105" s="29">
        <v>5169</v>
      </c>
      <c r="G105" s="4" t="s">
        <v>58</v>
      </c>
      <c r="U105" s="430"/>
      <c r="V105" s="430"/>
      <c r="X105" s="363">
        <f t="shared" si="37"/>
        <v>0</v>
      </c>
    </row>
    <row r="106" spans="3:24" ht="15">
      <c r="C106" s="81">
        <v>43066</v>
      </c>
      <c r="D106" s="29">
        <v>4580.8</v>
      </c>
      <c r="G106" s="427"/>
      <c r="H106" s="427"/>
      <c r="I106" s="118"/>
      <c r="J106" s="295"/>
      <c r="K106" s="295"/>
      <c r="L106" s="295"/>
      <c r="M106" s="295"/>
      <c r="N106" s="295"/>
      <c r="O106" s="295"/>
      <c r="P106" s="343"/>
      <c r="Q106" s="295"/>
      <c r="R106" s="295"/>
      <c r="S106" s="295"/>
      <c r="T106" s="295"/>
      <c r="U106" s="430"/>
      <c r="V106" s="430"/>
      <c r="X106" s="363">
        <f t="shared" si="37"/>
        <v>0</v>
      </c>
    </row>
    <row r="107" spans="3:24" ht="15.75" customHeight="1">
      <c r="C107" s="81">
        <v>43063</v>
      </c>
      <c r="D107" s="29">
        <v>2825.97</v>
      </c>
      <c r="G107" s="427"/>
      <c r="H107" s="427"/>
      <c r="I107" s="118"/>
      <c r="J107" s="296"/>
      <c r="K107" s="296"/>
      <c r="L107" s="296"/>
      <c r="M107" s="296"/>
      <c r="N107" s="296"/>
      <c r="O107" s="296"/>
      <c r="P107" s="344"/>
      <c r="Q107" s="296"/>
      <c r="R107" s="296"/>
      <c r="S107" s="296"/>
      <c r="T107" s="296"/>
      <c r="U107" s="430"/>
      <c r="V107" s="430"/>
      <c r="X107" s="363">
        <f t="shared" si="37"/>
        <v>0</v>
      </c>
    </row>
    <row r="108" spans="3:24" ht="15.75" customHeight="1">
      <c r="C108" s="81"/>
      <c r="F108" s="68"/>
      <c r="G108" s="421"/>
      <c r="H108" s="421"/>
      <c r="I108" s="124"/>
      <c r="J108" s="295"/>
      <c r="K108" s="295"/>
      <c r="L108" s="295"/>
      <c r="M108" s="295"/>
      <c r="N108" s="295"/>
      <c r="O108" s="295"/>
      <c r="P108" s="343"/>
      <c r="Q108" s="295"/>
      <c r="R108" s="295"/>
      <c r="S108" s="295"/>
      <c r="T108" s="295"/>
      <c r="X108" s="363">
        <f t="shared" si="37"/>
        <v>0</v>
      </c>
    </row>
    <row r="109" spans="2:24" ht="18" customHeight="1">
      <c r="B109" s="425" t="s">
        <v>56</v>
      </c>
      <c r="C109" s="426"/>
      <c r="D109" s="133">
        <v>234.00993</v>
      </c>
      <c r="E109" s="69"/>
      <c r="F109" s="125" t="s">
        <v>107</v>
      </c>
      <c r="G109" s="427"/>
      <c r="H109" s="427"/>
      <c r="I109" s="126"/>
      <c r="J109" s="295"/>
      <c r="K109" s="295"/>
      <c r="L109" s="295"/>
      <c r="M109" s="295"/>
      <c r="N109" s="295"/>
      <c r="O109" s="295"/>
      <c r="P109" s="343"/>
      <c r="Q109" s="295"/>
      <c r="R109" s="295"/>
      <c r="S109" s="295"/>
      <c r="T109" s="295"/>
      <c r="X109" s="363">
        <f t="shared" si="37"/>
        <v>0</v>
      </c>
    </row>
    <row r="110" spans="6:24" ht="9.75" customHeight="1">
      <c r="F110" s="68"/>
      <c r="G110" s="427"/>
      <c r="H110" s="427"/>
      <c r="I110" s="68"/>
      <c r="J110" s="69"/>
      <c r="K110" s="69"/>
      <c r="L110" s="69"/>
      <c r="M110" s="69"/>
      <c r="N110" s="69"/>
      <c r="O110" s="69"/>
      <c r="P110" s="345"/>
      <c r="Q110" s="69"/>
      <c r="R110" s="69"/>
      <c r="S110" s="69"/>
      <c r="X110" s="363">
        <f t="shared" si="37"/>
        <v>0</v>
      </c>
    </row>
    <row r="111" spans="2:24" ht="22.5" customHeight="1" hidden="1">
      <c r="B111" s="428" t="s">
        <v>59</v>
      </c>
      <c r="C111" s="429"/>
      <c r="D111" s="80">
        <v>0</v>
      </c>
      <c r="E111" s="51" t="s">
        <v>24</v>
      </c>
      <c r="F111" s="68"/>
      <c r="G111" s="427"/>
      <c r="H111" s="427"/>
      <c r="I111" s="68"/>
      <c r="J111" s="69"/>
      <c r="K111" s="69"/>
      <c r="L111" s="69"/>
      <c r="M111" s="69"/>
      <c r="N111" s="69"/>
      <c r="O111" s="69"/>
      <c r="P111" s="345"/>
      <c r="Q111" s="69"/>
      <c r="R111" s="69"/>
      <c r="S111" s="69"/>
      <c r="X111" s="363">
        <f t="shared" si="37"/>
        <v>0</v>
      </c>
    </row>
    <row r="112" spans="2:24" ht="15" hidden="1">
      <c r="B112" s="285" t="s">
        <v>195</v>
      </c>
      <c r="D112" s="68">
        <f>D60+D63+D64</f>
        <v>1530</v>
      </c>
      <c r="E112" s="68">
        <f>E60+E63+E64</f>
        <v>1484</v>
      </c>
      <c r="F112" s="203">
        <f>F60+F63+F64</f>
        <v>1735.04</v>
      </c>
      <c r="G112" s="68">
        <f>G60+G63+G64</f>
        <v>251.0399999999999</v>
      </c>
      <c r="H112" s="69"/>
      <c r="I112" s="69"/>
      <c r="T112" s="29">
        <f>T60+T63+T64</f>
        <v>506</v>
      </c>
      <c r="U112" s="202">
        <f>U60+U63+U64</f>
        <v>165.25999999999982</v>
      </c>
      <c r="V112" s="29">
        <f>V60+V63+V64</f>
        <v>-340.7400000000002</v>
      </c>
      <c r="X112" s="363">
        <f t="shared" si="37"/>
        <v>0</v>
      </c>
    </row>
    <row r="113" spans="4:24" ht="15" hidden="1">
      <c r="D113" s="78"/>
      <c r="I113" s="29"/>
      <c r="U113" s="420"/>
      <c r="V113" s="420"/>
      <c r="X113" s="363">
        <f t="shared" si="37"/>
        <v>0</v>
      </c>
    </row>
    <row r="114" spans="2:24" ht="15" hidden="1">
      <c r="B114" s="4" t="s">
        <v>119</v>
      </c>
      <c r="D114" s="29">
        <f>D9+D15+D18+D19+D23+D54+D57+D77+D71</f>
        <v>1294791.6</v>
      </c>
      <c r="E114" s="29">
        <f>E9+E15+E18+E19+E23+E54+E57+E77+E71</f>
        <v>1183174.9000000001</v>
      </c>
      <c r="F114" s="229">
        <f>F9+F15+F18+F19+F23+F54+F57+F77+F71</f>
        <v>1184337.73</v>
      </c>
      <c r="G114" s="29">
        <f>F114-E114</f>
        <v>1162.8299999998417</v>
      </c>
      <c r="H114" s="230">
        <f>F114/E114</f>
        <v>1.0009828048245444</v>
      </c>
      <c r="I114" s="29">
        <f>F114-D114</f>
        <v>-110453.87000000011</v>
      </c>
      <c r="J114" s="230">
        <f>F114/D114</f>
        <v>0.9146937082384531</v>
      </c>
      <c r="K114" s="230"/>
      <c r="L114" s="230"/>
      <c r="M114" s="230"/>
      <c r="N114" s="230"/>
      <c r="O114" s="230"/>
      <c r="T114" s="29">
        <f>T9+T15+T17+T18+T19+T23+T54+T57+T77+T71</f>
        <v>118135.2</v>
      </c>
      <c r="U114" s="229">
        <f>U9+U15+U17+U18+U19+U23+U54+U57+U77+U71</f>
        <v>106791.50000000003</v>
      </c>
      <c r="V114" s="29">
        <f>U114-T114</f>
        <v>-11343.699999999968</v>
      </c>
      <c r="W114" s="230">
        <f>U114/T114</f>
        <v>0.9039769687612162</v>
      </c>
      <c r="X114" s="363">
        <f t="shared" si="37"/>
        <v>0</v>
      </c>
    </row>
    <row r="115" spans="2:24" ht="15" hidden="1">
      <c r="B115" s="4" t="s">
        <v>120</v>
      </c>
      <c r="D115" s="29">
        <f>D55+D56+D58+D60+D62+D63+D64+D65+D66+D72+D76+D59+D78</f>
        <v>62676.5</v>
      </c>
      <c r="E115" s="29">
        <f>E55+E56+E58+E60+E62+E63+E64+E65+E66+E72+E76+E59+E78</f>
        <v>61559.4</v>
      </c>
      <c r="F115" s="229">
        <f>F55+F56+F58+F60+F62+F63+F64+F65+F66+F72+F76+F59+F78</f>
        <v>59687.33</v>
      </c>
      <c r="G115" s="29">
        <f>G55+G56+G58+G60+G62+G63+G64+G65+G66+G72+G76+G59</f>
        <v>-1867.0699999999997</v>
      </c>
      <c r="H115" s="230">
        <f>F115/E115</f>
        <v>0.9695892097713753</v>
      </c>
      <c r="I115" s="29">
        <f>I55+I56+I58+I60+I62+I63+I64+I65+I66+I72+I76+I59</f>
        <v>-2984.17</v>
      </c>
      <c r="J115" s="230">
        <f>F115/D115</f>
        <v>0.952307962314424</v>
      </c>
      <c r="K115" s="230"/>
      <c r="L115" s="230"/>
      <c r="M115" s="230"/>
      <c r="N115" s="230"/>
      <c r="O115" s="230"/>
      <c r="Q115" s="29">
        <f>Q55+Q56+Q58+Q60+Q62+Q63+Q64+Q65+Q66+Q72+Q76+Q59</f>
        <v>60534.17000000001</v>
      </c>
      <c r="R115" s="29">
        <f>R55+R56+R58+R60+R62+R63+R64+R65+R66+R72+R76+R59</f>
        <v>-841.8399999999988</v>
      </c>
      <c r="S115" s="29">
        <f>S55+S56+S58+S60+S62+S63+S64+S65+S66+S72+S76+S59</f>
        <v>20.25277970234779</v>
      </c>
      <c r="T115" s="29">
        <f>T55+T56+T58+T60+T62+T63+T64+T65+T66+T72+T76+T59+T78</f>
        <v>11827.8</v>
      </c>
      <c r="U115" s="229">
        <f>U55+U56+U58+U60+U62+U63+U64+U65+U66+U72+U76+U59+U78</f>
        <v>5213.280000000001</v>
      </c>
      <c r="V115" s="29">
        <f>V55+V56+V58+V60+V62+V63+V64+V65+V66+V72+V76+V59</f>
        <v>-6614.549999999998</v>
      </c>
      <c r="W115" s="230">
        <f>U115/T115</f>
        <v>0.4407649774260641</v>
      </c>
      <c r="X115" s="363">
        <f t="shared" si="37"/>
        <v>20.25277970234779</v>
      </c>
    </row>
    <row r="116" spans="2:24" ht="15" hidden="1">
      <c r="B116" s="4" t="s">
        <v>121</v>
      </c>
      <c r="D116" s="29">
        <f>SUM(D114:D115)</f>
        <v>1357468.1</v>
      </c>
      <c r="E116" s="29" t="e">
        <f>#N/A</f>
        <v>#N/A</v>
      </c>
      <c r="F116" s="229" t="e">
        <f>#N/A</f>
        <v>#N/A</v>
      </c>
      <c r="G116" s="29" t="e">
        <f>#N/A</f>
        <v>#N/A</v>
      </c>
      <c r="H116" s="230" t="e">
        <f>F116/E116</f>
        <v>#N/A</v>
      </c>
      <c r="I116" s="29" t="e">
        <f>#N/A</f>
        <v>#N/A</v>
      </c>
      <c r="J116" s="230" t="e">
        <f>F116/D116</f>
        <v>#N/A</v>
      </c>
      <c r="K116" s="230"/>
      <c r="L116" s="230"/>
      <c r="M116" s="230"/>
      <c r="N116" s="230"/>
      <c r="O116" s="230"/>
      <c r="Q116" s="29" t="e">
        <f>#N/A</f>
        <v>#N/A</v>
      </c>
      <c r="R116" s="29" t="e">
        <f>#N/A</f>
        <v>#N/A</v>
      </c>
      <c r="S116" s="29" t="e">
        <f>#N/A</f>
        <v>#N/A</v>
      </c>
      <c r="T116" s="29" t="e">
        <f>#N/A</f>
        <v>#N/A</v>
      </c>
      <c r="U116" s="229" t="e">
        <f>#N/A</f>
        <v>#N/A</v>
      </c>
      <c r="V116" s="29" t="e">
        <f>#N/A</f>
        <v>#N/A</v>
      </c>
      <c r="W116" s="230" t="e">
        <f>U116/T116</f>
        <v>#N/A</v>
      </c>
      <c r="X116" s="363" t="e">
        <f t="shared" si="37"/>
        <v>#N/A</v>
      </c>
    </row>
    <row r="117" spans="4:24" ht="15" hidden="1">
      <c r="D117" s="29">
        <f>D79-D116</f>
        <v>23</v>
      </c>
      <c r="E117" s="29" t="e">
        <f>#N/A</f>
        <v>#N/A</v>
      </c>
      <c r="F117" s="29" t="e">
        <f>#N/A</f>
        <v>#N/A</v>
      </c>
      <c r="G117" s="29" t="e">
        <f>#N/A</f>
        <v>#N/A</v>
      </c>
      <c r="H117" s="230"/>
      <c r="I117" s="29" t="e">
        <f>#N/A</f>
        <v>#N/A</v>
      </c>
      <c r="J117" s="230"/>
      <c r="K117" s="230"/>
      <c r="L117" s="230"/>
      <c r="M117" s="230"/>
      <c r="N117" s="230"/>
      <c r="O117" s="230"/>
      <c r="Q117" s="29" t="e">
        <f>Q79-Q116</f>
        <v>#N/A</v>
      </c>
      <c r="R117" s="29" t="e">
        <f>#N/A</f>
        <v>#N/A</v>
      </c>
      <c r="S117" s="29" t="e">
        <f>#N/A</f>
        <v>#N/A</v>
      </c>
      <c r="T117" s="29" t="e">
        <f>#N/A</f>
        <v>#N/A</v>
      </c>
      <c r="U117" s="29" t="e">
        <f>#N/A</f>
        <v>#N/A</v>
      </c>
      <c r="V117" s="29" t="e">
        <f>#N/A</f>
        <v>#N/A</v>
      </c>
      <c r="W117" s="29"/>
      <c r="X117" s="363" t="e">
        <f t="shared" si="37"/>
        <v>#N/A</v>
      </c>
    </row>
    <row r="118" spans="5:24" ht="15" hidden="1">
      <c r="E118" s="4" t="s">
        <v>58</v>
      </c>
      <c r="X118" s="363">
        <f t="shared" si="37"/>
        <v>0</v>
      </c>
    </row>
    <row r="119" spans="2:24" ht="15" hidden="1">
      <c r="B119" s="245" t="s">
        <v>165</v>
      </c>
      <c r="E119" s="29">
        <f>E79-E9-E20-E35-E47</f>
        <v>139284.30000000005</v>
      </c>
      <c r="X119" s="363">
        <f t="shared" si="37"/>
        <v>0</v>
      </c>
    </row>
    <row r="120" spans="2:24" ht="15" hidden="1">
      <c r="B120" s="245" t="s">
        <v>166</v>
      </c>
      <c r="E120" s="29">
        <f>E100-E95-E88-E89</f>
        <v>55383</v>
      </c>
      <c r="X120" s="363">
        <f t="shared" si="37"/>
        <v>0</v>
      </c>
    </row>
    <row r="121" ht="15" hidden="1">
      <c r="X121" s="363">
        <f t="shared" si="37"/>
        <v>0</v>
      </c>
    </row>
    <row r="122" spans="2:24" ht="18" hidden="1">
      <c r="B122" s="122" t="s">
        <v>157</v>
      </c>
      <c r="C122" s="43">
        <v>25000000</v>
      </c>
      <c r="D122" s="180">
        <v>72408.22</v>
      </c>
      <c r="E122" s="180">
        <v>18102.06</v>
      </c>
      <c r="F122" s="181">
        <v>20254.32</v>
      </c>
      <c r="G122" s="162">
        <f>F122-E122</f>
        <v>2152.2599999999984</v>
      </c>
      <c r="H122" s="164">
        <f>F122/E122*100</f>
        <v>111.88958604711286</v>
      </c>
      <c r="I122" s="167">
        <f>F122-D122</f>
        <v>-52153.9</v>
      </c>
      <c r="J122" s="167">
        <f>F122/D122*100</f>
        <v>27.972404238082362</v>
      </c>
      <c r="K122" s="167"/>
      <c r="L122" s="167"/>
      <c r="M122" s="167"/>
      <c r="N122" s="167"/>
      <c r="O122" s="167"/>
      <c r="P122" s="209"/>
      <c r="Q122" s="167"/>
      <c r="R122" s="167"/>
      <c r="S122" s="268"/>
      <c r="T122" s="266"/>
      <c r="U122" s="266"/>
      <c r="V122" s="267"/>
      <c r="W122" s="267"/>
      <c r="X122" s="363">
        <f t="shared" si="37"/>
        <v>0</v>
      </c>
    </row>
    <row r="123" spans="2:24" ht="23.25" customHeight="1" hidden="1">
      <c r="B123" s="14" t="s">
        <v>31</v>
      </c>
      <c r="C123" s="66"/>
      <c r="D123" s="191">
        <f>D100+D122</f>
        <v>288316.95999999996</v>
      </c>
      <c r="E123" s="191">
        <f>E100+E122</f>
        <v>171318.07</v>
      </c>
      <c r="F123" s="191">
        <f>F100+F122</f>
        <v>52878.759999999995</v>
      </c>
      <c r="G123" s="192">
        <f>F123-E123</f>
        <v>-118439.31000000001</v>
      </c>
      <c r="H123" s="193">
        <f>F123/E123*100</f>
        <v>30.86583919606378</v>
      </c>
      <c r="I123" s="194">
        <f>F123-D123</f>
        <v>-235438.19999999995</v>
      </c>
      <c r="J123" s="194">
        <f>F123/D123*100</f>
        <v>18.340495820988124</v>
      </c>
      <c r="K123" s="194"/>
      <c r="L123" s="194"/>
      <c r="M123" s="194"/>
      <c r="N123" s="194"/>
      <c r="O123" s="194"/>
      <c r="P123" s="221"/>
      <c r="Q123" s="194">
        <v>3039.87</v>
      </c>
      <c r="R123" s="194">
        <f>F123-Q123</f>
        <v>49838.88999999999</v>
      </c>
      <c r="S123" s="269">
        <f>F123/Q123</f>
        <v>17.395072815613826</v>
      </c>
      <c r="T123" s="272"/>
      <c r="U123" s="272"/>
      <c r="V123" s="273"/>
      <c r="W123" s="273"/>
      <c r="X123" s="363">
        <f t="shared" si="37"/>
        <v>17.395072815613826</v>
      </c>
    </row>
    <row r="124" spans="2:24" ht="17.25" hidden="1">
      <c r="B124" s="21" t="s">
        <v>181</v>
      </c>
      <c r="C124" s="66"/>
      <c r="D124" s="191">
        <f>D123+D79</f>
        <v>1645808.06</v>
      </c>
      <c r="E124" s="191">
        <f>E123+E79</f>
        <v>1416075.37</v>
      </c>
      <c r="F124" s="191">
        <f>F123+F79</f>
        <v>1296927.69</v>
      </c>
      <c r="G124" s="192">
        <f>F124-E124</f>
        <v>-119147.68000000017</v>
      </c>
      <c r="H124" s="193">
        <f>F124/E124*100</f>
        <v>91.58606367117308</v>
      </c>
      <c r="I124" s="194">
        <f>F124-D124</f>
        <v>-348880.3700000001</v>
      </c>
      <c r="J124" s="194">
        <f>F124/D124*100</f>
        <v>78.8018798498289</v>
      </c>
      <c r="K124" s="194"/>
      <c r="L124" s="194"/>
      <c r="M124" s="194"/>
      <c r="N124" s="194"/>
      <c r="O124" s="194"/>
      <c r="P124" s="221"/>
      <c r="Q124" s="194">
        <f>Q101+Q123</f>
        <v>985105.96</v>
      </c>
      <c r="R124" s="194">
        <f>F124-Q124</f>
        <v>311821.73</v>
      </c>
      <c r="S124" s="269">
        <f>F124/Q124</f>
        <v>1.3165362333205253</v>
      </c>
      <c r="T124" s="274"/>
      <c r="U124" s="274"/>
      <c r="V124" s="273"/>
      <c r="W124" s="273"/>
      <c r="X124" s="363">
        <f t="shared" si="37"/>
        <v>1.3165362333205253</v>
      </c>
    </row>
    <row r="125" spans="2:24" ht="15" hidden="1">
      <c r="B125" s="241" t="s">
        <v>183</v>
      </c>
      <c r="C125" s="239">
        <v>40000000</v>
      </c>
      <c r="D125" s="244" t="e">
        <f>#N/A</f>
        <v>#N/A</v>
      </c>
      <c r="E125" s="244" t="e">
        <f>#N/A</f>
        <v>#N/A</v>
      </c>
      <c r="F125" s="244" t="e">
        <f>#N/A</f>
        <v>#N/A</v>
      </c>
      <c r="G125" s="244" t="e">
        <f>#N/A</f>
        <v>#N/A</v>
      </c>
      <c r="H125" s="244" t="e">
        <f>F125/E125*100</f>
        <v>#N/A</v>
      </c>
      <c r="I125" s="36" t="e">
        <f>#N/A</f>
        <v>#N/A</v>
      </c>
      <c r="J125" s="36" t="e">
        <f>F125/D125*100</f>
        <v>#N/A</v>
      </c>
      <c r="K125" s="313"/>
      <c r="L125" s="313"/>
      <c r="M125" s="313"/>
      <c r="N125" s="313"/>
      <c r="O125" s="313"/>
      <c r="P125" s="346"/>
      <c r="W125" s="89"/>
      <c r="X125" s="363">
        <f t="shared" si="37"/>
        <v>0</v>
      </c>
    </row>
    <row r="126" spans="2:24" ht="15" customHeight="1" hidden="1">
      <c r="B126" s="240" t="s">
        <v>154</v>
      </c>
      <c r="C126" s="239">
        <v>41000000</v>
      </c>
      <c r="D126" s="244" t="e">
        <f>#N/A</f>
        <v>#N/A</v>
      </c>
      <c r="E126" s="244" t="e">
        <f>#N/A</f>
        <v>#N/A</v>
      </c>
      <c r="F126" s="244" t="e">
        <f>#N/A</f>
        <v>#N/A</v>
      </c>
      <c r="G126" s="244" t="e">
        <f>#N/A</f>
        <v>#N/A</v>
      </c>
      <c r="H126" s="244" t="e">
        <f>#N/A</f>
        <v>#N/A</v>
      </c>
      <c r="I126" s="36" t="e">
        <f>#N/A</f>
        <v>#N/A</v>
      </c>
      <c r="J126" s="36" t="e">
        <f>#N/A</f>
        <v>#N/A</v>
      </c>
      <c r="K126" s="313"/>
      <c r="L126" s="313"/>
      <c r="M126" s="313"/>
      <c r="N126" s="313"/>
      <c r="O126" s="313"/>
      <c r="P126" s="346"/>
      <c r="W126" s="89"/>
      <c r="X126" s="363">
        <f t="shared" si="37"/>
        <v>0</v>
      </c>
    </row>
    <row r="127" spans="2:24" ht="15" hidden="1">
      <c r="B127" s="240" t="s">
        <v>155</v>
      </c>
      <c r="C127" s="239">
        <v>41030000</v>
      </c>
      <c r="D127" s="244">
        <f>SUM(D128:D135)</f>
        <v>1222868.6900000002</v>
      </c>
      <c r="E127" s="244">
        <f>SUM(E128:E135)</f>
        <v>550655.6</v>
      </c>
      <c r="F127" s="244">
        <f>SUM(F128:F135)</f>
        <v>545829.08</v>
      </c>
      <c r="G127" s="244" t="e">
        <f>#N/A</f>
        <v>#N/A</v>
      </c>
      <c r="H127" s="244" t="e">
        <f>#N/A</f>
        <v>#N/A</v>
      </c>
      <c r="I127" s="36" t="e">
        <f>#N/A</f>
        <v>#N/A</v>
      </c>
      <c r="J127" s="36" t="e">
        <f>#N/A</f>
        <v>#N/A</v>
      </c>
      <c r="K127" s="313"/>
      <c r="L127" s="313"/>
      <c r="M127" s="313"/>
      <c r="N127" s="313"/>
      <c r="O127" s="313"/>
      <c r="P127" s="346"/>
      <c r="W127" s="89"/>
      <c r="X127" s="363">
        <f t="shared" si="37"/>
        <v>0</v>
      </c>
    </row>
    <row r="128" spans="2:24" ht="63.75" hidden="1">
      <c r="B128" s="240" t="s">
        <v>177</v>
      </c>
      <c r="C128" s="239">
        <v>41030600</v>
      </c>
      <c r="D128" s="244">
        <v>311813.4</v>
      </c>
      <c r="E128" s="244">
        <v>74842.5</v>
      </c>
      <c r="F128" s="244">
        <v>71108.47</v>
      </c>
      <c r="G128" s="244" t="e">
        <f>#N/A</f>
        <v>#N/A</v>
      </c>
      <c r="H128" s="244" t="e">
        <f>#N/A</f>
        <v>#N/A</v>
      </c>
      <c r="I128" s="36" t="e">
        <f>#N/A</f>
        <v>#N/A</v>
      </c>
      <c r="J128" s="36" t="e">
        <f>#N/A</f>
        <v>#N/A</v>
      </c>
      <c r="K128" s="313"/>
      <c r="L128" s="313"/>
      <c r="M128" s="313"/>
      <c r="N128" s="313"/>
      <c r="O128" s="313"/>
      <c r="P128" s="346"/>
      <c r="W128" s="89"/>
      <c r="X128" s="363">
        <f t="shared" si="37"/>
        <v>0</v>
      </c>
    </row>
    <row r="129" spans="2:24" ht="63.75" hidden="1">
      <c r="B129" s="240" t="s">
        <v>159</v>
      </c>
      <c r="C129" s="239">
        <v>41030800</v>
      </c>
      <c r="D129" s="244">
        <v>408648.2</v>
      </c>
      <c r="E129" s="244">
        <v>354918.91</v>
      </c>
      <c r="F129" s="244">
        <v>354211.24</v>
      </c>
      <c r="G129" s="244" t="e">
        <f>#N/A</f>
        <v>#N/A</v>
      </c>
      <c r="H129" s="244" t="e">
        <f>#N/A</f>
        <v>#N/A</v>
      </c>
      <c r="I129" s="36" t="e">
        <f>#N/A</f>
        <v>#N/A</v>
      </c>
      <c r="J129" s="36" t="e">
        <f>#N/A</f>
        <v>#N/A</v>
      </c>
      <c r="K129" s="313"/>
      <c r="L129" s="313"/>
      <c r="M129" s="313"/>
      <c r="N129" s="313"/>
      <c r="O129" s="313"/>
      <c r="P129" s="346"/>
      <c r="W129" s="89"/>
      <c r="X129" s="363">
        <f t="shared" si="37"/>
        <v>0</v>
      </c>
    </row>
    <row r="130" spans="2:24" ht="51.75" hidden="1">
      <c r="B130" s="240" t="s">
        <v>178</v>
      </c>
      <c r="C130" s="239">
        <v>41031000</v>
      </c>
      <c r="D130" s="244">
        <v>227.7</v>
      </c>
      <c r="E130" s="244">
        <v>57</v>
      </c>
      <c r="F130" s="244">
        <v>40.84</v>
      </c>
      <c r="G130" s="244" t="e">
        <f>#N/A</f>
        <v>#N/A</v>
      </c>
      <c r="H130" s="244" t="e">
        <f>#N/A</f>
        <v>#N/A</v>
      </c>
      <c r="I130" s="36" t="e">
        <f>#N/A</f>
        <v>#N/A</v>
      </c>
      <c r="J130" s="36" t="e">
        <f>#N/A</f>
        <v>#N/A</v>
      </c>
      <c r="K130" s="313"/>
      <c r="L130" s="313"/>
      <c r="M130" s="313"/>
      <c r="N130" s="313"/>
      <c r="O130" s="313"/>
      <c r="P130" s="346"/>
      <c r="W130" s="89"/>
      <c r="X130" s="363">
        <f t="shared" si="37"/>
        <v>0</v>
      </c>
    </row>
    <row r="131" spans="2:24" ht="26.25" hidden="1">
      <c r="B131" s="240" t="s">
        <v>160</v>
      </c>
      <c r="C131" s="239">
        <v>41033900</v>
      </c>
      <c r="D131" s="244">
        <v>243334.5</v>
      </c>
      <c r="E131" s="244">
        <v>56191.6</v>
      </c>
      <c r="F131" s="244">
        <v>56191.6</v>
      </c>
      <c r="G131" s="244" t="e">
        <f>#N/A</f>
        <v>#N/A</v>
      </c>
      <c r="H131" s="244" t="e">
        <f>#N/A</f>
        <v>#N/A</v>
      </c>
      <c r="I131" s="36" t="e">
        <f>#N/A</f>
        <v>#N/A</v>
      </c>
      <c r="J131" s="36" t="e">
        <f>#N/A</f>
        <v>#N/A</v>
      </c>
      <c r="K131" s="313"/>
      <c r="L131" s="313"/>
      <c r="M131" s="313"/>
      <c r="N131" s="313"/>
      <c r="O131" s="313"/>
      <c r="P131" s="346"/>
      <c r="W131" s="89"/>
      <c r="X131" s="363">
        <f t="shared" si="37"/>
        <v>0</v>
      </c>
    </row>
    <row r="132" spans="2:24" ht="26.25" hidden="1">
      <c r="B132" s="240" t="s">
        <v>161</v>
      </c>
      <c r="C132" s="239">
        <v>41034200</v>
      </c>
      <c r="D132" s="244">
        <v>238249.5</v>
      </c>
      <c r="E132" s="244">
        <v>59541.9</v>
      </c>
      <c r="F132" s="244">
        <v>59541.9</v>
      </c>
      <c r="G132" s="244" t="e">
        <f>#N/A</f>
        <v>#N/A</v>
      </c>
      <c r="H132" s="244" t="e">
        <f>#N/A</f>
        <v>#N/A</v>
      </c>
      <c r="I132" s="36" t="e">
        <f>#N/A</f>
        <v>#N/A</v>
      </c>
      <c r="J132" s="36" t="e">
        <f>#N/A</f>
        <v>#N/A</v>
      </c>
      <c r="K132" s="313"/>
      <c r="L132" s="313"/>
      <c r="M132" s="313"/>
      <c r="N132" s="313"/>
      <c r="O132" s="313"/>
      <c r="P132" s="346"/>
      <c r="W132" s="89"/>
      <c r="X132" s="363">
        <f t="shared" si="37"/>
        <v>0</v>
      </c>
    </row>
    <row r="133" spans="2:24" ht="15" hidden="1">
      <c r="B133" s="240" t="s">
        <v>156</v>
      </c>
      <c r="C133" s="239">
        <v>41035000</v>
      </c>
      <c r="D133" s="244">
        <v>16239.09</v>
      </c>
      <c r="E133" s="244">
        <v>4193.79</v>
      </c>
      <c r="F133" s="244">
        <v>3733.65</v>
      </c>
      <c r="G133" s="244" t="e">
        <f>#N/A</f>
        <v>#N/A</v>
      </c>
      <c r="H133" s="244" t="e">
        <f>#N/A</f>
        <v>#N/A</v>
      </c>
      <c r="I133" s="36" t="e">
        <f>#N/A</f>
        <v>#N/A</v>
      </c>
      <c r="J133" s="36" t="e">
        <f>#N/A</f>
        <v>#N/A</v>
      </c>
      <c r="K133" s="313"/>
      <c r="L133" s="313"/>
      <c r="M133" s="313"/>
      <c r="N133" s="313"/>
      <c r="O133" s="313"/>
      <c r="P133" s="346"/>
      <c r="W133" s="89"/>
      <c r="X133" s="363">
        <f t="shared" si="37"/>
        <v>0</v>
      </c>
    </row>
    <row r="134" spans="2:24" ht="39" hidden="1">
      <c r="B134" s="240" t="s">
        <v>180</v>
      </c>
      <c r="C134" s="239">
        <v>41035400</v>
      </c>
      <c r="D134" s="244">
        <v>0</v>
      </c>
      <c r="E134" s="244">
        <v>0</v>
      </c>
      <c r="F134" s="244">
        <v>165.7</v>
      </c>
      <c r="G134" s="244" t="e">
        <f>#N/A</f>
        <v>#N/A</v>
      </c>
      <c r="H134" s="244" t="e">
        <f>#N/A</f>
        <v>#N/A</v>
      </c>
      <c r="I134" s="36" t="e">
        <f>#N/A</f>
        <v>#N/A</v>
      </c>
      <c r="J134" s="36" t="e">
        <f>#N/A</f>
        <v>#N/A</v>
      </c>
      <c r="K134" s="313"/>
      <c r="L134" s="313"/>
      <c r="M134" s="313"/>
      <c r="N134" s="313"/>
      <c r="O134" s="313"/>
      <c r="P134" s="346"/>
      <c r="W134" s="89"/>
      <c r="X134" s="363">
        <f t="shared" si="37"/>
        <v>0</v>
      </c>
    </row>
    <row r="135" spans="2:24" ht="63.75" hidden="1">
      <c r="B135" s="240" t="s">
        <v>179</v>
      </c>
      <c r="C135" s="239">
        <v>41035800</v>
      </c>
      <c r="D135" s="244">
        <v>4356.3</v>
      </c>
      <c r="E135" s="244">
        <v>909.9</v>
      </c>
      <c r="F135" s="244">
        <v>835.68</v>
      </c>
      <c r="G135" s="244" t="e">
        <f>#N/A</f>
        <v>#N/A</v>
      </c>
      <c r="H135" s="244" t="e">
        <f>#N/A</f>
        <v>#N/A</v>
      </c>
      <c r="I135" s="36" t="e">
        <f>#N/A</f>
        <v>#N/A</v>
      </c>
      <c r="J135" s="36" t="e">
        <f>#N/A</f>
        <v>#N/A</v>
      </c>
      <c r="K135" s="313"/>
      <c r="L135" s="313"/>
      <c r="M135" s="313"/>
      <c r="N135" s="313"/>
      <c r="O135" s="313"/>
      <c r="P135" s="346"/>
      <c r="W135" s="89"/>
      <c r="X135" s="363">
        <f t="shared" si="37"/>
        <v>0</v>
      </c>
    </row>
    <row r="136" spans="2:24" s="242" customFormat="1" ht="25.5" customHeight="1" hidden="1">
      <c r="B136" s="275" t="s">
        <v>158</v>
      </c>
      <c r="C136" s="276"/>
      <c r="D136" s="277" t="e">
        <f>D124+D125</f>
        <v>#N/A</v>
      </c>
      <c r="E136" s="277" t="e">
        <f>E124+E125</f>
        <v>#N/A</v>
      </c>
      <c r="F136" s="277" t="e">
        <f>F124+F125</f>
        <v>#N/A</v>
      </c>
      <c r="G136" s="278" t="e">
        <f>#N/A</f>
        <v>#N/A</v>
      </c>
      <c r="H136" s="277" t="e">
        <f>#N/A</f>
        <v>#N/A</v>
      </c>
      <c r="I136" s="279" t="e">
        <f>#N/A</f>
        <v>#N/A</v>
      </c>
      <c r="J136" s="279" t="e">
        <f>#N/A</f>
        <v>#N/A</v>
      </c>
      <c r="K136" s="314"/>
      <c r="L136" s="314"/>
      <c r="M136" s="314"/>
      <c r="N136" s="314"/>
      <c r="O136" s="314"/>
      <c r="P136" s="347"/>
      <c r="W136" s="243"/>
      <c r="X136" s="363">
        <f t="shared" si="37"/>
        <v>0</v>
      </c>
    </row>
    <row r="137" ht="15" hidden="1">
      <c r="X137" s="363">
        <f t="shared" si="37"/>
        <v>0</v>
      </c>
    </row>
    <row r="138" ht="15" hidden="1">
      <c r="X138" s="363">
        <f t="shared" si="37"/>
        <v>0</v>
      </c>
    </row>
    <row r="139" ht="15" hidden="1">
      <c r="X139" s="363">
        <f t="shared" si="37"/>
        <v>0</v>
      </c>
    </row>
    <row r="140" ht="15" hidden="1">
      <c r="X140" s="363">
        <f t="shared" si="37"/>
        <v>0</v>
      </c>
    </row>
    <row r="141" ht="15" hidden="1">
      <c r="X141" s="363">
        <f t="shared" si="37"/>
        <v>0</v>
      </c>
    </row>
    <row r="142" ht="15" hidden="1">
      <c r="X142" s="363">
        <f t="shared" si="37"/>
        <v>0</v>
      </c>
    </row>
    <row r="143" spans="2:24" ht="15" hidden="1">
      <c r="B143" s="360" t="s">
        <v>254</v>
      </c>
      <c r="X143" s="363">
        <f t="shared" si="37"/>
        <v>0</v>
      </c>
    </row>
    <row r="144" spans="1:24" s="6" customFormat="1" ht="30.75" customHeight="1" hidden="1">
      <c r="A144" s="8"/>
      <c r="B144" s="351" t="s">
        <v>116</v>
      </c>
      <c r="C144" s="120">
        <v>13010200</v>
      </c>
      <c r="D144" s="162">
        <v>0</v>
      </c>
      <c r="E144" s="162">
        <v>0</v>
      </c>
      <c r="F144" s="163">
        <v>0.49</v>
      </c>
      <c r="G144" s="150">
        <f aca="true" t="shared" si="38" ref="G144:G152">F144-E144</f>
        <v>0.49</v>
      </c>
      <c r="H144" s="157"/>
      <c r="I144" s="158">
        <f aca="true" t="shared" si="39" ref="I144:I152">F144-D144</f>
        <v>0.49</v>
      </c>
      <c r="J144" s="158"/>
      <c r="K144" s="158"/>
      <c r="L144" s="158"/>
      <c r="M144" s="158"/>
      <c r="N144" s="158">
        <v>0.17</v>
      </c>
      <c r="O144" s="158">
        <f aca="true" t="shared" si="40" ref="O144:O150">D144-N144</f>
        <v>-0.17</v>
      </c>
      <c r="P144" s="210">
        <f aca="true" t="shared" si="41" ref="P144:P150">D144/N144</f>
        <v>0</v>
      </c>
      <c r="Q144" s="167">
        <v>0.17</v>
      </c>
      <c r="R144" s="161">
        <f aca="true" t="shared" si="42" ref="R144:R152">F144-Q144</f>
        <v>0.31999999999999995</v>
      </c>
      <c r="S144" s="208">
        <f>F144/Q144</f>
        <v>2.88235294117647</v>
      </c>
      <c r="T144" s="157">
        <f>E144-серпень!E132</f>
        <v>0</v>
      </c>
      <c r="U144" s="160">
        <f>F144-серпень!F132</f>
        <v>0.49</v>
      </c>
      <c r="V144" s="161">
        <f aca="true" t="shared" si="43" ref="V144:V152">U144-T144</f>
        <v>0.49</v>
      </c>
      <c r="W144" s="158"/>
      <c r="X144" s="363">
        <f t="shared" si="37"/>
        <v>2.88235294117647</v>
      </c>
    </row>
    <row r="145" spans="1:24" s="6" customFormat="1" ht="30.75" hidden="1">
      <c r="A145" s="8"/>
      <c r="B145" s="352" t="s">
        <v>117</v>
      </c>
      <c r="C145" s="43" t="s">
        <v>58</v>
      </c>
      <c r="D145" s="150">
        <v>125</v>
      </c>
      <c r="E145" s="150">
        <v>90</v>
      </c>
      <c r="F145" s="156">
        <v>147.46</v>
      </c>
      <c r="G145" s="150">
        <f t="shared" si="38"/>
        <v>57.46000000000001</v>
      </c>
      <c r="H145" s="157">
        <f>F145/E145*100</f>
        <v>163.84444444444446</v>
      </c>
      <c r="I145" s="158">
        <f t="shared" si="39"/>
        <v>22.460000000000008</v>
      </c>
      <c r="J145" s="158">
        <f>F145/D145*100</f>
        <v>117.968</v>
      </c>
      <c r="K145" s="158"/>
      <c r="L145" s="158"/>
      <c r="M145" s="158"/>
      <c r="N145" s="158">
        <v>124.7</v>
      </c>
      <c r="O145" s="158">
        <f t="shared" si="40"/>
        <v>0.29999999999999716</v>
      </c>
      <c r="P145" s="210">
        <f t="shared" si="41"/>
        <v>1.0024057738572574</v>
      </c>
      <c r="Q145" s="161">
        <v>105.8</v>
      </c>
      <c r="R145" s="161">
        <f t="shared" si="42"/>
        <v>41.66000000000001</v>
      </c>
      <c r="S145" s="208">
        <f>F145/Q145</f>
        <v>1.3937618147448017</v>
      </c>
      <c r="T145" s="157">
        <f>E145-серпень!E133</f>
        <v>90</v>
      </c>
      <c r="U145" s="160">
        <f>F145-серпень!F133</f>
        <v>147.46</v>
      </c>
      <c r="V145" s="161">
        <f t="shared" si="43"/>
        <v>57.46000000000001</v>
      </c>
      <c r="W145" s="158">
        <f>U145/T145*100</f>
        <v>163.84444444444446</v>
      </c>
      <c r="X145" s="363">
        <f t="shared" si="37"/>
        <v>0.3913560408875443</v>
      </c>
    </row>
    <row r="146" spans="1:24" s="6" customFormat="1" ht="18" hidden="1">
      <c r="A146" s="8"/>
      <c r="B146" s="353" t="s">
        <v>61</v>
      </c>
      <c r="C146" s="42">
        <v>21080500</v>
      </c>
      <c r="D146" s="150">
        <v>40</v>
      </c>
      <c r="E146" s="150">
        <v>25</v>
      </c>
      <c r="F146" s="156">
        <v>128.3</v>
      </c>
      <c r="G146" s="150">
        <f t="shared" si="38"/>
        <v>103.30000000000001</v>
      </c>
      <c r="H146" s="164">
        <f>F146/E146*100</f>
        <v>513.2</v>
      </c>
      <c r="I146" s="165">
        <f t="shared" si="39"/>
        <v>88.30000000000001</v>
      </c>
      <c r="J146" s="165">
        <f>F146/D146*100</f>
        <v>320.75000000000006</v>
      </c>
      <c r="K146" s="165"/>
      <c r="L146" s="165"/>
      <c r="M146" s="165"/>
      <c r="N146" s="165">
        <v>31.98</v>
      </c>
      <c r="O146" s="165">
        <f t="shared" si="40"/>
        <v>8.02</v>
      </c>
      <c r="P146" s="218">
        <f t="shared" si="41"/>
        <v>1.2507817385866167</v>
      </c>
      <c r="Q146" s="165">
        <v>31.98</v>
      </c>
      <c r="R146" s="165">
        <f t="shared" si="42"/>
        <v>96.32000000000001</v>
      </c>
      <c r="S146" s="218">
        <f>F146/Q146</f>
        <v>4.011882426516573</v>
      </c>
      <c r="T146" s="157">
        <f>E146-серпень!E134</f>
        <v>25</v>
      </c>
      <c r="U146" s="160">
        <f>F146-серпень!F134</f>
        <v>128.3</v>
      </c>
      <c r="V146" s="161">
        <f t="shared" si="43"/>
        <v>103.30000000000001</v>
      </c>
      <c r="W146" s="165">
        <f>U146/T146</f>
        <v>5.132000000000001</v>
      </c>
      <c r="X146" s="363">
        <f t="shared" si="37"/>
        <v>2.7611006879299564</v>
      </c>
    </row>
    <row r="147" spans="1:24" s="6" customFormat="1" ht="31.5" hidden="1">
      <c r="A147" s="8"/>
      <c r="B147" s="354" t="s">
        <v>39</v>
      </c>
      <c r="C147" s="71">
        <v>21080900</v>
      </c>
      <c r="D147" s="150">
        <f>6.5-6.5</f>
        <v>0</v>
      </c>
      <c r="E147" s="150">
        <v>0</v>
      </c>
      <c r="F147" s="156">
        <v>12.95</v>
      </c>
      <c r="G147" s="150">
        <f t="shared" si="38"/>
        <v>12.95</v>
      </c>
      <c r="H147" s="164"/>
      <c r="I147" s="165">
        <f t="shared" si="39"/>
        <v>12.95</v>
      </c>
      <c r="J147" s="165"/>
      <c r="K147" s="165"/>
      <c r="L147" s="165"/>
      <c r="M147" s="165"/>
      <c r="N147" s="165">
        <v>0.1</v>
      </c>
      <c r="O147" s="165">
        <f t="shared" si="40"/>
        <v>-0.1</v>
      </c>
      <c r="P147" s="218">
        <f t="shared" si="41"/>
        <v>0</v>
      </c>
      <c r="Q147" s="165">
        <v>0.1</v>
      </c>
      <c r="R147" s="165">
        <f t="shared" si="42"/>
        <v>12.85</v>
      </c>
      <c r="S147" s="218"/>
      <c r="T147" s="157">
        <f>E147-серпень!E135</f>
        <v>0</v>
      </c>
      <c r="U147" s="160">
        <f>F147-серпень!F135</f>
        <v>12.95</v>
      </c>
      <c r="V147" s="161">
        <f t="shared" si="43"/>
        <v>12.95</v>
      </c>
      <c r="W147" s="165"/>
      <c r="X147" s="363">
        <f t="shared" si="37"/>
        <v>0</v>
      </c>
    </row>
    <row r="148" spans="1:24" s="6" customFormat="1" ht="18" hidden="1">
      <c r="A148" s="8"/>
      <c r="B148" s="352" t="s">
        <v>16</v>
      </c>
      <c r="C148" s="72">
        <v>21081100</v>
      </c>
      <c r="D148" s="150">
        <v>260</v>
      </c>
      <c r="E148" s="150">
        <v>194</v>
      </c>
      <c r="F148" s="156">
        <v>620.32</v>
      </c>
      <c r="G148" s="150">
        <f t="shared" si="38"/>
        <v>426.32000000000005</v>
      </c>
      <c r="H148" s="164">
        <f>F148/E148*100</f>
        <v>319.75257731958766</v>
      </c>
      <c r="I148" s="165">
        <f t="shared" si="39"/>
        <v>360.32000000000005</v>
      </c>
      <c r="J148" s="165">
        <f>F148/D148*100</f>
        <v>238.5846153846154</v>
      </c>
      <c r="K148" s="165"/>
      <c r="L148" s="165"/>
      <c r="M148" s="165"/>
      <c r="N148" s="165">
        <v>241.07</v>
      </c>
      <c r="O148" s="165">
        <f t="shared" si="40"/>
        <v>18.930000000000007</v>
      </c>
      <c r="P148" s="218">
        <f t="shared" si="41"/>
        <v>1.0785249097772431</v>
      </c>
      <c r="Q148" s="165">
        <v>197.12</v>
      </c>
      <c r="R148" s="165">
        <f t="shared" si="42"/>
        <v>423.20000000000005</v>
      </c>
      <c r="S148" s="218">
        <f aca="true" t="shared" si="44" ref="S148:S153">F148/Q148</f>
        <v>3.1469155844155847</v>
      </c>
      <c r="T148" s="157">
        <f>E148-серпень!E136</f>
        <v>194</v>
      </c>
      <c r="U148" s="160">
        <f>F148-серпень!F136</f>
        <v>620.32</v>
      </c>
      <c r="V148" s="161">
        <f t="shared" si="43"/>
        <v>426.32000000000005</v>
      </c>
      <c r="W148" s="165">
        <f>U148/T148</f>
        <v>3.1975257731958764</v>
      </c>
      <c r="X148" s="363">
        <f t="shared" si="37"/>
        <v>2.0683906746383416</v>
      </c>
    </row>
    <row r="149" spans="1:24" s="6" customFormat="1" ht="46.5" hidden="1">
      <c r="A149" s="8"/>
      <c r="B149" s="352" t="s">
        <v>80</v>
      </c>
      <c r="C149" s="72">
        <v>21081500</v>
      </c>
      <c r="D149" s="150">
        <v>97.5</v>
      </c>
      <c r="E149" s="150">
        <v>74.8</v>
      </c>
      <c r="F149" s="156">
        <v>78.43</v>
      </c>
      <c r="G149" s="150">
        <f t="shared" si="38"/>
        <v>3.6300000000000097</v>
      </c>
      <c r="H149" s="164">
        <f>F149/E149*100</f>
        <v>104.8529411764706</v>
      </c>
      <c r="I149" s="165">
        <f t="shared" si="39"/>
        <v>-19.069999999999993</v>
      </c>
      <c r="J149" s="165">
        <f>F149/D149*100</f>
        <v>80.44102564102565</v>
      </c>
      <c r="K149" s="165"/>
      <c r="L149" s="165"/>
      <c r="M149" s="165"/>
      <c r="N149" s="165">
        <v>86.37</v>
      </c>
      <c r="O149" s="165">
        <f t="shared" si="40"/>
        <v>11.129999999999995</v>
      </c>
      <c r="P149" s="218">
        <f t="shared" si="41"/>
        <v>1.1288641889544981</v>
      </c>
      <c r="Q149" s="165">
        <v>41.15</v>
      </c>
      <c r="R149" s="165">
        <f t="shared" si="42"/>
        <v>37.28000000000001</v>
      </c>
      <c r="S149" s="218">
        <f t="shared" si="44"/>
        <v>1.9059538274605106</v>
      </c>
      <c r="T149" s="157">
        <f>E149-серпень!E137</f>
        <v>74.8</v>
      </c>
      <c r="U149" s="160">
        <f>F149-серпень!F137</f>
        <v>78.43</v>
      </c>
      <c r="V149" s="161">
        <f t="shared" si="43"/>
        <v>3.6300000000000097</v>
      </c>
      <c r="W149" s="165">
        <f>U149/T149</f>
        <v>1.048529411764706</v>
      </c>
      <c r="X149" s="363">
        <f t="shared" si="37"/>
        <v>0.7770896385060124</v>
      </c>
    </row>
    <row r="150" spans="1:24" s="6" customFormat="1" ht="46.5" hidden="1">
      <c r="A150" s="8"/>
      <c r="B150" s="352" t="s">
        <v>17</v>
      </c>
      <c r="C150" s="11" t="s">
        <v>18</v>
      </c>
      <c r="D150" s="150">
        <v>2.5</v>
      </c>
      <c r="E150" s="150">
        <v>2.5</v>
      </c>
      <c r="F150" s="156">
        <v>2.04</v>
      </c>
      <c r="G150" s="150">
        <f t="shared" si="38"/>
        <v>-0.45999999999999996</v>
      </c>
      <c r="H150" s="164">
        <f>F150/E150*100</f>
        <v>81.60000000000001</v>
      </c>
      <c r="I150" s="165">
        <f t="shared" si="39"/>
        <v>-0.45999999999999996</v>
      </c>
      <c r="J150" s="165">
        <f>F150/D150*100</f>
        <v>81.60000000000001</v>
      </c>
      <c r="K150" s="165"/>
      <c r="L150" s="165"/>
      <c r="M150" s="165"/>
      <c r="N150" s="165">
        <v>2.46</v>
      </c>
      <c r="O150" s="165">
        <f t="shared" si="40"/>
        <v>0.040000000000000036</v>
      </c>
      <c r="P150" s="218">
        <f t="shared" si="41"/>
        <v>1.016260162601626</v>
      </c>
      <c r="Q150" s="165">
        <v>2.46</v>
      </c>
      <c r="R150" s="165">
        <f t="shared" si="42"/>
        <v>-0.41999999999999993</v>
      </c>
      <c r="S150" s="218">
        <f t="shared" si="44"/>
        <v>0.8292682926829269</v>
      </c>
      <c r="T150" s="157">
        <f>E150-серпень!E138</f>
        <v>2.5</v>
      </c>
      <c r="U150" s="160">
        <f>F150-серпень!F138</f>
        <v>2.04</v>
      </c>
      <c r="V150" s="161">
        <f t="shared" si="43"/>
        <v>-0.45999999999999996</v>
      </c>
      <c r="W150" s="165"/>
      <c r="X150" s="363">
        <f t="shared" si="37"/>
        <v>-0.1869918699186992</v>
      </c>
    </row>
    <row r="151" spans="1:24" s="6" customFormat="1" ht="18" hidden="1">
      <c r="A151" s="8"/>
      <c r="B151" s="358" t="s">
        <v>44</v>
      </c>
      <c r="C151" s="43">
        <v>31010200</v>
      </c>
      <c r="D151" s="150">
        <v>15</v>
      </c>
      <c r="E151" s="150">
        <v>11.3</v>
      </c>
      <c r="F151" s="156">
        <v>34.22</v>
      </c>
      <c r="G151" s="150">
        <f t="shared" si="38"/>
        <v>22.919999999999998</v>
      </c>
      <c r="H151" s="164">
        <f>F151/E151*100</f>
        <v>302.8318584070796</v>
      </c>
      <c r="I151" s="165">
        <f t="shared" si="39"/>
        <v>19.22</v>
      </c>
      <c r="J151" s="165">
        <f>F151/D151*100</f>
        <v>228.13333333333335</v>
      </c>
      <c r="K151" s="165"/>
      <c r="L151" s="165"/>
      <c r="M151" s="165"/>
      <c r="N151" s="165">
        <v>13.52</v>
      </c>
      <c r="O151" s="165">
        <f>D151-N151</f>
        <v>1.4800000000000004</v>
      </c>
      <c r="P151" s="218">
        <f>D151/N151</f>
        <v>1.1094674556213018</v>
      </c>
      <c r="Q151" s="165">
        <v>13.52</v>
      </c>
      <c r="R151" s="165">
        <f t="shared" si="42"/>
        <v>20.7</v>
      </c>
      <c r="S151" s="218">
        <f t="shared" si="44"/>
        <v>2.5310650887573964</v>
      </c>
      <c r="T151" s="157">
        <f>E151-серпень!E139</f>
        <v>11.3</v>
      </c>
      <c r="U151" s="160">
        <f>F151-серпень!F139</f>
        <v>34.22</v>
      </c>
      <c r="V151" s="161">
        <f t="shared" si="43"/>
        <v>22.919999999999998</v>
      </c>
      <c r="W151" s="165">
        <f>U151/T151</f>
        <v>3.0283185840707962</v>
      </c>
      <c r="X151" s="363">
        <f t="shared" si="37"/>
        <v>1.4215976331360947</v>
      </c>
    </row>
    <row r="152" spans="1:24" s="6" customFormat="1" ht="30.75" hidden="1">
      <c r="A152" s="8"/>
      <c r="B152" s="358" t="s">
        <v>57</v>
      </c>
      <c r="C152" s="43">
        <v>31020000</v>
      </c>
      <c r="D152" s="150">
        <v>0</v>
      </c>
      <c r="E152" s="150">
        <v>0</v>
      </c>
      <c r="F152" s="156">
        <v>-5.17</v>
      </c>
      <c r="G152" s="150">
        <f t="shared" si="38"/>
        <v>-5.17</v>
      </c>
      <c r="H152" s="164"/>
      <c r="I152" s="165">
        <f t="shared" si="39"/>
        <v>-5.17</v>
      </c>
      <c r="J152" s="165"/>
      <c r="K152" s="165"/>
      <c r="L152" s="165"/>
      <c r="M152" s="165"/>
      <c r="N152" s="165">
        <v>7.37</v>
      </c>
      <c r="O152" s="165">
        <f>D152-N152</f>
        <v>-7.37</v>
      </c>
      <c r="P152" s="218">
        <f>D152/N152</f>
        <v>0</v>
      </c>
      <c r="Q152" s="165">
        <v>1.02</v>
      </c>
      <c r="R152" s="165">
        <f t="shared" si="42"/>
        <v>-6.1899999999999995</v>
      </c>
      <c r="S152" s="218">
        <f t="shared" si="44"/>
        <v>-5.068627450980392</v>
      </c>
      <c r="T152" s="157">
        <f>E152-серпень!E140</f>
        <v>0</v>
      </c>
      <c r="U152" s="160">
        <f>F152-серпень!F140</f>
        <v>-5.17</v>
      </c>
      <c r="V152" s="161">
        <f t="shared" si="43"/>
        <v>-5.17</v>
      </c>
      <c r="W152" s="165"/>
      <c r="X152" s="363">
        <f t="shared" si="37"/>
        <v>-5.068627450980392</v>
      </c>
    </row>
    <row r="153" spans="4:24" ht="15" hidden="1">
      <c r="D153" s="29">
        <f>D144+D145+D146+D147+D148+D149+D150+D151+D152</f>
        <v>540</v>
      </c>
      <c r="E153" s="29">
        <f>E144+E145+E146+E147+E148+E149+E150+E151+E152</f>
        <v>397.6</v>
      </c>
      <c r="F153" s="29">
        <f>F144+F145+F146+F147+F148+F149+F150+F151+F152</f>
        <v>1019.0400000000001</v>
      </c>
      <c r="G153" s="29">
        <f>F153-E153</f>
        <v>621.44</v>
      </c>
      <c r="H153" s="29">
        <f>F153/E153*100</f>
        <v>256.29778672032194</v>
      </c>
      <c r="I153" s="29">
        <f>F153-D153</f>
        <v>479.0400000000001</v>
      </c>
      <c r="J153" s="25">
        <f>F153/D153*100</f>
        <v>188.7111111111111</v>
      </c>
      <c r="N153" s="29">
        <f>N144+N145+N146+N147+N148+N149+N150+N151+N152</f>
        <v>507.73999999999995</v>
      </c>
      <c r="O153" s="29">
        <f>D153-N153</f>
        <v>32.26000000000005</v>
      </c>
      <c r="P153" s="230">
        <f>D153/N153</f>
        <v>1.063536455666286</v>
      </c>
      <c r="Q153" s="29">
        <f>Q144+Q145+Q146+Q147+Q148+Q149+Q150+Q151+Q152</f>
        <v>393.3199999999999</v>
      </c>
      <c r="R153" s="29">
        <f>F153-Q153</f>
        <v>625.7200000000003</v>
      </c>
      <c r="S153" s="230">
        <f t="shared" si="44"/>
        <v>2.5908674870334596</v>
      </c>
      <c r="X153" s="363">
        <f t="shared" si="37"/>
        <v>1.5273310313671735</v>
      </c>
    </row>
    <row r="154" ht="15" hidden="1">
      <c r="X154" s="363"/>
    </row>
    <row r="155" spans="2:24" ht="15" hidden="1">
      <c r="B155" s="284" t="s">
        <v>255</v>
      </c>
      <c r="X155" s="363"/>
    </row>
    <row r="156" spans="1:24" s="6" customFormat="1" ht="30.75" hidden="1">
      <c r="A156" s="8"/>
      <c r="B156" s="350" t="s">
        <v>105</v>
      </c>
      <c r="C156" s="49">
        <v>22010300</v>
      </c>
      <c r="D156" s="150">
        <v>730</v>
      </c>
      <c r="E156" s="150">
        <v>640</v>
      </c>
      <c r="F156" s="156">
        <v>906.99</v>
      </c>
      <c r="G156" s="150">
        <f aca="true" t="shared" si="45" ref="G156:G161">F156-E156</f>
        <v>266.99</v>
      </c>
      <c r="H156" s="164">
        <f>F156/E156*100</f>
        <v>141.7171875</v>
      </c>
      <c r="I156" s="165">
        <f aca="true" t="shared" si="46" ref="I156:I161">F156-D156</f>
        <v>176.99</v>
      </c>
      <c r="J156" s="165">
        <f>F156/D156*100</f>
        <v>124.24520547945205</v>
      </c>
      <c r="K156" s="165"/>
      <c r="L156" s="165"/>
      <c r="M156" s="165"/>
      <c r="N156" s="165">
        <v>791.33</v>
      </c>
      <c r="O156" s="165">
        <f aca="true" t="shared" si="47" ref="O156:O161">D156-N156</f>
        <v>-61.33000000000004</v>
      </c>
      <c r="P156" s="218">
        <f aca="true" t="shared" si="48" ref="P156:P161">D156/N156</f>
        <v>0.9224975673865518</v>
      </c>
      <c r="Q156" s="165">
        <v>428.63</v>
      </c>
      <c r="R156" s="165">
        <f aca="true" t="shared" si="49" ref="R156:R161">F156-Q156</f>
        <v>478.36</v>
      </c>
      <c r="S156" s="218">
        <f>F156/Q156</f>
        <v>2.1160208104892333</v>
      </c>
      <c r="T156" s="157">
        <f>E156-серпень!E144</f>
        <v>640</v>
      </c>
      <c r="U156" s="160">
        <f>F156-серпень!F144</f>
        <v>906.99</v>
      </c>
      <c r="V156" s="161">
        <f>U156-T156</f>
        <v>266.99</v>
      </c>
      <c r="W156" s="165">
        <f>U156/T156</f>
        <v>1.417171875</v>
      </c>
      <c r="X156" s="363">
        <f t="shared" si="37"/>
        <v>1.1935232431026814</v>
      </c>
    </row>
    <row r="157" spans="1:24" s="6" customFormat="1" ht="18" hidden="1">
      <c r="A157" s="8"/>
      <c r="B157" s="350" t="s">
        <v>223</v>
      </c>
      <c r="C157" s="49">
        <v>22010200</v>
      </c>
      <c r="D157" s="150">
        <v>0</v>
      </c>
      <c r="E157" s="150">
        <v>0</v>
      </c>
      <c r="F157" s="156">
        <v>23.38</v>
      </c>
      <c r="G157" s="150">
        <f t="shared" si="45"/>
        <v>23.38</v>
      </c>
      <c r="H157" s="164"/>
      <c r="I157" s="165">
        <f t="shared" si="46"/>
        <v>23.38</v>
      </c>
      <c r="J157" s="165"/>
      <c r="K157" s="165"/>
      <c r="L157" s="165"/>
      <c r="M157" s="165"/>
      <c r="N157" s="165">
        <v>0</v>
      </c>
      <c r="O157" s="165">
        <f t="shared" si="47"/>
        <v>0</v>
      </c>
      <c r="P157" s="218" t="e">
        <f t="shared" si="48"/>
        <v>#DIV/0!</v>
      </c>
      <c r="Q157" s="165"/>
      <c r="R157" s="165">
        <f t="shared" si="49"/>
        <v>23.38</v>
      </c>
      <c r="S157" s="218"/>
      <c r="T157" s="157">
        <f>E157-серпень!E145</f>
        <v>0</v>
      </c>
      <c r="U157" s="160">
        <f>F157-серпень!F145</f>
        <v>23.38</v>
      </c>
      <c r="V157" s="161">
        <f>U157-T157</f>
        <v>23.38</v>
      </c>
      <c r="W157" s="165"/>
      <c r="X157" s="363" t="e">
        <f t="shared" si="37"/>
        <v>#DIV/0!</v>
      </c>
    </row>
    <row r="158" spans="1:24" s="6" customFormat="1" ht="18" hidden="1">
      <c r="A158" s="8"/>
      <c r="B158" s="356" t="s">
        <v>78</v>
      </c>
      <c r="C158" s="72">
        <v>22012500</v>
      </c>
      <c r="D158" s="150">
        <v>11000</v>
      </c>
      <c r="E158" s="150">
        <v>8940</v>
      </c>
      <c r="F158" s="156">
        <v>14765.24</v>
      </c>
      <c r="G158" s="150">
        <f t="shared" si="45"/>
        <v>5825.24</v>
      </c>
      <c r="H158" s="164">
        <f>F158/E158*100</f>
        <v>165.1592841163311</v>
      </c>
      <c r="I158" s="165">
        <f t="shared" si="46"/>
        <v>3765.24</v>
      </c>
      <c r="J158" s="165">
        <f>F158/D158*100</f>
        <v>134.22945454545453</v>
      </c>
      <c r="K158" s="165"/>
      <c r="L158" s="165"/>
      <c r="M158" s="165"/>
      <c r="N158" s="165">
        <v>11422.5</v>
      </c>
      <c r="O158" s="165">
        <f t="shared" si="47"/>
        <v>-422.5</v>
      </c>
      <c r="P158" s="218">
        <f t="shared" si="48"/>
        <v>0.9630115999124534</v>
      </c>
      <c r="Q158" s="165">
        <v>8067.74</v>
      </c>
      <c r="R158" s="165">
        <f t="shared" si="49"/>
        <v>6697.5</v>
      </c>
      <c r="S158" s="218">
        <f>F158/Q158</f>
        <v>1.8301581359835593</v>
      </c>
      <c r="T158" s="157">
        <f>E158-серпень!E146</f>
        <v>8940</v>
      </c>
      <c r="U158" s="160">
        <f>F158-серпень!F146</f>
        <v>14765.24</v>
      </c>
      <c r="V158" s="161">
        <f>U158-T158</f>
        <v>5825.24</v>
      </c>
      <c r="W158" s="165">
        <f>U158/T158</f>
        <v>1.651592841163311</v>
      </c>
      <c r="X158" s="363">
        <f t="shared" si="37"/>
        <v>0.8671465360711058</v>
      </c>
    </row>
    <row r="159" spans="1:24" s="6" customFormat="1" ht="31.5" hidden="1">
      <c r="A159" s="8"/>
      <c r="B159" s="356" t="s">
        <v>99</v>
      </c>
      <c r="C159" s="72">
        <v>22012600</v>
      </c>
      <c r="D159" s="150">
        <v>310</v>
      </c>
      <c r="E159" s="150">
        <v>235</v>
      </c>
      <c r="F159" s="156">
        <v>438.04</v>
      </c>
      <c r="G159" s="150">
        <f t="shared" si="45"/>
        <v>203.04000000000002</v>
      </c>
      <c r="H159" s="164">
        <f>F159/E159*100</f>
        <v>186.4</v>
      </c>
      <c r="I159" s="165">
        <f t="shared" si="46"/>
        <v>128.04000000000002</v>
      </c>
      <c r="J159" s="165">
        <f>F159/D159*100</f>
        <v>141.30322580645162</v>
      </c>
      <c r="K159" s="165"/>
      <c r="L159" s="165"/>
      <c r="M159" s="165"/>
      <c r="N159" s="165">
        <v>323.25</v>
      </c>
      <c r="O159" s="165">
        <f t="shared" si="47"/>
        <v>-13.25</v>
      </c>
      <c r="P159" s="218">
        <f t="shared" si="48"/>
        <v>0.9590100541376644</v>
      </c>
      <c r="Q159" s="165">
        <v>210.12</v>
      </c>
      <c r="R159" s="165">
        <f t="shared" si="49"/>
        <v>227.92000000000002</v>
      </c>
      <c r="S159" s="218">
        <f>F159/Q159</f>
        <v>2.084713497049305</v>
      </c>
      <c r="T159" s="157">
        <f>E159-серпень!E147</f>
        <v>235</v>
      </c>
      <c r="U159" s="160">
        <f>F159-серпень!F147</f>
        <v>438.04</v>
      </c>
      <c r="V159" s="161">
        <f>U159-T159</f>
        <v>203.04000000000002</v>
      </c>
      <c r="W159" s="165">
        <f>U159/T159</f>
        <v>1.864</v>
      </c>
      <c r="X159" s="363">
        <f t="shared" si="37"/>
        <v>1.1257034429116408</v>
      </c>
    </row>
    <row r="160" spans="1:24" s="6" customFormat="1" ht="31.5" hidden="1">
      <c r="A160" s="8"/>
      <c r="B160" s="356" t="s">
        <v>106</v>
      </c>
      <c r="C160" s="72">
        <v>22012900</v>
      </c>
      <c r="D160" s="150">
        <v>20</v>
      </c>
      <c r="E160" s="150">
        <v>17</v>
      </c>
      <c r="F160" s="156">
        <v>29.28</v>
      </c>
      <c r="G160" s="150">
        <f t="shared" si="45"/>
        <v>12.280000000000001</v>
      </c>
      <c r="H160" s="164">
        <f>F160/E160*100</f>
        <v>172.23529411764707</v>
      </c>
      <c r="I160" s="165">
        <f t="shared" si="46"/>
        <v>9.280000000000001</v>
      </c>
      <c r="J160" s="165">
        <f>F160/D160*100</f>
        <v>146.4</v>
      </c>
      <c r="K160" s="165"/>
      <c r="L160" s="165"/>
      <c r="M160" s="165"/>
      <c r="N160" s="165">
        <v>22.36</v>
      </c>
      <c r="O160" s="165">
        <f t="shared" si="47"/>
        <v>-2.3599999999999994</v>
      </c>
      <c r="P160" s="218">
        <f t="shared" si="48"/>
        <v>0.8944543828264758</v>
      </c>
      <c r="Q160" s="165">
        <v>16.68</v>
      </c>
      <c r="R160" s="165">
        <f t="shared" si="49"/>
        <v>12.600000000000001</v>
      </c>
      <c r="S160" s="218">
        <f>F160/Q160</f>
        <v>1.7553956834532376</v>
      </c>
      <c r="T160" s="157">
        <f>E160-серпень!E148</f>
        <v>17</v>
      </c>
      <c r="U160" s="160">
        <f>F160-серпень!F148</f>
        <v>29.28</v>
      </c>
      <c r="V160" s="161">
        <f>U160-T160</f>
        <v>12.280000000000001</v>
      </c>
      <c r="W160" s="165">
        <f>U160/T160</f>
        <v>1.7223529411764706</v>
      </c>
      <c r="X160" s="363">
        <f t="shared" si="37"/>
        <v>0.8609413006267618</v>
      </c>
    </row>
    <row r="161" spans="4:24" ht="15" hidden="1">
      <c r="D161" s="29">
        <f>D156+D157+D158+D159+D160</f>
        <v>12060</v>
      </c>
      <c r="E161" s="29">
        <f>E156+E157+E158+E159+E160</f>
        <v>9832</v>
      </c>
      <c r="F161" s="29">
        <f>F156+F157+F158+F159+F160</f>
        <v>16162.930000000002</v>
      </c>
      <c r="G161" s="29">
        <f t="shared" si="45"/>
        <v>6330.930000000002</v>
      </c>
      <c r="H161" s="230">
        <f>F161/E161</f>
        <v>1.6439106997558994</v>
      </c>
      <c r="I161" s="29">
        <f t="shared" si="46"/>
        <v>4102.930000000002</v>
      </c>
      <c r="J161" s="230">
        <f>F161/D161</f>
        <v>1.340209784411277</v>
      </c>
      <c r="N161" s="29">
        <f>N156+N157+N158+N159+N160</f>
        <v>12559.44</v>
      </c>
      <c r="O161" s="29">
        <f t="shared" si="47"/>
        <v>-499.4400000000005</v>
      </c>
      <c r="P161" s="230">
        <f t="shared" si="48"/>
        <v>0.9602338957787927</v>
      </c>
      <c r="Q161" s="29">
        <f>Q156+Q157+Q158+Q159+Q160</f>
        <v>8723.17</v>
      </c>
      <c r="R161" s="29">
        <f t="shared" si="49"/>
        <v>7439.760000000002</v>
      </c>
      <c r="S161" s="230">
        <f>F161/Q161</f>
        <v>1.8528734393574815</v>
      </c>
      <c r="X161" s="363">
        <f t="shared" si="37"/>
        <v>0.8926395435786888</v>
      </c>
    </row>
    <row r="162" ht="15" hidden="1">
      <c r="X162" s="363"/>
    </row>
    <row r="163" ht="15" hidden="1">
      <c r="X163" s="363"/>
    </row>
    <row r="164" spans="2:24" ht="15" hidden="1">
      <c r="B164" s="284" t="s">
        <v>256</v>
      </c>
      <c r="X164" s="363"/>
    </row>
    <row r="165" spans="1:24" s="6" customFormat="1" ht="15.75" customHeight="1" hidden="1">
      <c r="A165" s="8"/>
      <c r="B165" s="357" t="s">
        <v>13</v>
      </c>
      <c r="C165" s="11" t="s">
        <v>19</v>
      </c>
      <c r="D165" s="150">
        <v>7350</v>
      </c>
      <c r="E165" s="150">
        <v>6400</v>
      </c>
      <c r="F165" s="156">
        <v>6761.56</v>
      </c>
      <c r="G165" s="150">
        <f>F165-E165</f>
        <v>361.5600000000004</v>
      </c>
      <c r="H165" s="164">
        <f>F165/E165*100</f>
        <v>105.649375</v>
      </c>
      <c r="I165" s="165">
        <f>F165-D165</f>
        <v>-588.4399999999996</v>
      </c>
      <c r="J165" s="165">
        <f>F165/D165*100</f>
        <v>91.99401360544218</v>
      </c>
      <c r="K165" s="165"/>
      <c r="L165" s="165"/>
      <c r="M165" s="165"/>
      <c r="N165" s="165">
        <v>6525.16</v>
      </c>
      <c r="O165" s="165">
        <f>D165-N165</f>
        <v>824.8400000000001</v>
      </c>
      <c r="P165" s="218">
        <f>D165/N165</f>
        <v>1.1264091608481632</v>
      </c>
      <c r="Q165" s="165">
        <v>5154.13</v>
      </c>
      <c r="R165" s="165">
        <f>F165-Q165</f>
        <v>1607.4300000000003</v>
      </c>
      <c r="S165" s="218">
        <f>F165/Q165</f>
        <v>1.3118722267385572</v>
      </c>
      <c r="T165" s="157">
        <f>E165-серпень!E153</f>
        <v>6400</v>
      </c>
      <c r="U165" s="160">
        <f>F165-серпень!F153</f>
        <v>6761.56</v>
      </c>
      <c r="V165" s="161">
        <f>U165-T165</f>
        <v>361.5600000000004</v>
      </c>
      <c r="W165" s="165">
        <f>U165/T165</f>
        <v>1.05649375</v>
      </c>
      <c r="X165" s="363">
        <f>S165-P165</f>
        <v>0.18546306589039396</v>
      </c>
    </row>
    <row r="166" spans="1:24" s="6" customFormat="1" ht="44.25" customHeight="1" hidden="1">
      <c r="A166" s="8"/>
      <c r="B166" s="357" t="s">
        <v>43</v>
      </c>
      <c r="C166" s="43">
        <v>24061900</v>
      </c>
      <c r="D166" s="150">
        <v>160</v>
      </c>
      <c r="E166" s="150">
        <v>90</v>
      </c>
      <c r="F166" s="156">
        <v>60.14</v>
      </c>
      <c r="G166" s="150">
        <f>F166-E166</f>
        <v>-29.86</v>
      </c>
      <c r="H166" s="164">
        <f>F166/E166*100</f>
        <v>66.82222222222222</v>
      </c>
      <c r="I166" s="165">
        <f>F166-D166</f>
        <v>-99.86</v>
      </c>
      <c r="J166" s="165">
        <f>F166/D166*100</f>
        <v>37.5875</v>
      </c>
      <c r="K166" s="165"/>
      <c r="L166" s="165"/>
      <c r="M166" s="165"/>
      <c r="N166" s="165">
        <v>226.72</v>
      </c>
      <c r="O166" s="165">
        <f>D166-N166</f>
        <v>-66.72</v>
      </c>
      <c r="P166" s="218">
        <f>D166/N166</f>
        <v>0.7057163020465773</v>
      </c>
      <c r="Q166" s="165">
        <v>158.93</v>
      </c>
      <c r="R166" s="165">
        <f>F166-Q166</f>
        <v>-98.79</v>
      </c>
      <c r="S166" s="218">
        <f>F166/Q166</f>
        <v>0.37840558736550683</v>
      </c>
      <c r="T166" s="157">
        <f>E166-серпень!E154</f>
        <v>90</v>
      </c>
      <c r="U166" s="160">
        <f>F166-серпень!F154</f>
        <v>60.14</v>
      </c>
      <c r="V166" s="161">
        <f>U166-T166</f>
        <v>-29.86</v>
      </c>
      <c r="W166" s="165">
        <f>U166/T166</f>
        <v>0.6682222222222223</v>
      </c>
      <c r="X166" s="363">
        <f>S166-P166</f>
        <v>-0.3273107146810705</v>
      </c>
    </row>
    <row r="167" spans="4:24" ht="15" hidden="1">
      <c r="D167" s="29">
        <f>D165+D166</f>
        <v>7510</v>
      </c>
      <c r="E167" s="29">
        <f>E165+E166</f>
        <v>6490</v>
      </c>
      <c r="F167" s="29">
        <f>F165+F166</f>
        <v>6821.700000000001</v>
      </c>
      <c r="G167" s="25">
        <f>F167-E167</f>
        <v>331.7000000000007</v>
      </c>
      <c r="H167" s="230">
        <f>F167/E167</f>
        <v>1.051109399075501</v>
      </c>
      <c r="I167" s="29">
        <f>F167-D167</f>
        <v>-688.2999999999993</v>
      </c>
      <c r="J167" s="230">
        <f>F167/D167</f>
        <v>0.9083488681757658</v>
      </c>
      <c r="N167" s="29">
        <f>N165+N166</f>
        <v>6751.88</v>
      </c>
      <c r="O167" s="29">
        <f>D167-N167</f>
        <v>758.1199999999999</v>
      </c>
      <c r="P167" s="230">
        <f>D167/N167</f>
        <v>1.112282801234619</v>
      </c>
      <c r="Q167" s="29">
        <f>Q165+Q166</f>
        <v>5313.06</v>
      </c>
      <c r="R167" s="29">
        <f>F167-Q167</f>
        <v>1508.6400000000003</v>
      </c>
      <c r="S167" s="230">
        <f>F167/Q167</f>
        <v>1.2839493625142573</v>
      </c>
      <c r="X167" s="363">
        <f>S167-P167</f>
        <v>0.1716665612796382</v>
      </c>
    </row>
    <row r="168" ht="15" hidden="1"/>
  </sheetData>
  <sheetProtection/>
  <mergeCells count="34">
    <mergeCell ref="B109:C109"/>
    <mergeCell ref="G109:H109"/>
    <mergeCell ref="G110:H110"/>
    <mergeCell ref="B111:C111"/>
    <mergeCell ref="G111:H111"/>
    <mergeCell ref="U105:V105"/>
    <mergeCell ref="G106:H106"/>
    <mergeCell ref="U106:V106"/>
    <mergeCell ref="G107:H107"/>
    <mergeCell ref="U107:V107"/>
    <mergeCell ref="U113:V113"/>
    <mergeCell ref="G108:H108"/>
    <mergeCell ref="F4:F5"/>
    <mergeCell ref="G4:G5"/>
    <mergeCell ref="H4:H5"/>
    <mergeCell ref="I4:I5"/>
    <mergeCell ref="J4:J5"/>
    <mergeCell ref="G104:J104"/>
    <mergeCell ref="U3:W3"/>
    <mergeCell ref="V4:V5"/>
    <mergeCell ref="W4:W5"/>
    <mergeCell ref="K5:M5"/>
    <mergeCell ref="N5:P5"/>
    <mergeCell ref="Q5:S5"/>
    <mergeCell ref="E4:E5"/>
    <mergeCell ref="U4:U5"/>
    <mergeCell ref="A1:W1"/>
    <mergeCell ref="B2:D2"/>
    <mergeCell ref="A3:A5"/>
    <mergeCell ref="B3:B5"/>
    <mergeCell ref="C3:C5"/>
    <mergeCell ref="D3:D5"/>
    <mergeCell ref="F3:J3"/>
    <mergeCell ref="T3:T5"/>
  </mergeCells>
  <printOptions/>
  <pageMargins left="0.31496062992125984" right="0.11811023622047245" top="0.15748031496062992" bottom="0.15748031496062992" header="0" footer="0"/>
  <pageSetup fitToHeight="1" fitToWidth="1" orientation="portrait" paperSize="9" scale="4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3"/>
  <sheetViews>
    <sheetView zoomScale="73" zoomScaleNormal="73" zoomScalePageLayoutView="0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D18" sqref="C18:D18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89" hidden="1" customWidth="1"/>
    <col min="20" max="20" width="9.125" style="4" hidden="1" customWidth="1"/>
    <col min="21" max="21" width="11.50390625" style="4" hidden="1" customWidth="1"/>
    <col min="22" max="16384" width="9.125" style="4" customWidth="1"/>
  </cols>
  <sheetData>
    <row r="1" spans="1:19" s="1" customFormat="1" ht="26.25" customHeight="1">
      <c r="A1" s="396" t="s">
        <v>151</v>
      </c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  <c r="M1" s="396"/>
      <c r="N1" s="396"/>
      <c r="O1" s="396"/>
      <c r="P1" s="396"/>
      <c r="Q1" s="396"/>
      <c r="R1" s="86"/>
      <c r="S1" s="87"/>
    </row>
    <row r="2" spans="2:19" s="1" customFormat="1" ht="15.75" customHeight="1">
      <c r="B2" s="397"/>
      <c r="C2" s="397"/>
      <c r="D2" s="397"/>
      <c r="E2" s="2"/>
      <c r="F2" s="112"/>
      <c r="G2" s="2"/>
      <c r="H2" s="2"/>
      <c r="M2" s="1" t="s">
        <v>24</v>
      </c>
      <c r="Q2" s="17" t="s">
        <v>24</v>
      </c>
      <c r="R2" s="17"/>
      <c r="S2" s="88"/>
    </row>
    <row r="3" spans="1:19" s="3" customFormat="1" ht="13.5" customHeight="1">
      <c r="A3" s="398"/>
      <c r="B3" s="400"/>
      <c r="C3" s="401" t="s">
        <v>0</v>
      </c>
      <c r="D3" s="402" t="s">
        <v>150</v>
      </c>
      <c r="E3" s="32"/>
      <c r="F3" s="403" t="s">
        <v>26</v>
      </c>
      <c r="G3" s="404"/>
      <c r="H3" s="404"/>
      <c r="I3" s="404"/>
      <c r="J3" s="405"/>
      <c r="K3" s="83"/>
      <c r="L3" s="83"/>
      <c r="M3" s="83"/>
      <c r="N3" s="406" t="s">
        <v>144</v>
      </c>
      <c r="O3" s="409" t="s">
        <v>148</v>
      </c>
      <c r="P3" s="409"/>
      <c r="Q3" s="409"/>
      <c r="R3" s="409"/>
      <c r="S3" s="409"/>
    </row>
    <row r="4" spans="1:19" ht="22.5" customHeight="1">
      <c r="A4" s="398"/>
      <c r="B4" s="400"/>
      <c r="C4" s="401"/>
      <c r="D4" s="402"/>
      <c r="E4" s="392" t="s">
        <v>149</v>
      </c>
      <c r="F4" s="422" t="s">
        <v>33</v>
      </c>
      <c r="G4" s="410" t="s">
        <v>145</v>
      </c>
      <c r="H4" s="407" t="s">
        <v>146</v>
      </c>
      <c r="I4" s="410" t="s">
        <v>138</v>
      </c>
      <c r="J4" s="407" t="s">
        <v>139</v>
      </c>
      <c r="K4" s="85" t="s">
        <v>141</v>
      </c>
      <c r="L4" s="204" t="s">
        <v>113</v>
      </c>
      <c r="M4" s="90" t="s">
        <v>63</v>
      </c>
      <c r="N4" s="407"/>
      <c r="O4" s="394" t="s">
        <v>152</v>
      </c>
      <c r="P4" s="410" t="s">
        <v>49</v>
      </c>
      <c r="Q4" s="412" t="s">
        <v>48</v>
      </c>
      <c r="R4" s="91" t="s">
        <v>64</v>
      </c>
      <c r="S4" s="92" t="s">
        <v>63</v>
      </c>
    </row>
    <row r="5" spans="1:19" ht="67.5" customHeight="1">
      <c r="A5" s="399"/>
      <c r="B5" s="400"/>
      <c r="C5" s="401"/>
      <c r="D5" s="402"/>
      <c r="E5" s="393"/>
      <c r="F5" s="423"/>
      <c r="G5" s="411"/>
      <c r="H5" s="408"/>
      <c r="I5" s="411"/>
      <c r="J5" s="408"/>
      <c r="K5" s="413" t="s">
        <v>147</v>
      </c>
      <c r="L5" s="414"/>
      <c r="M5" s="415"/>
      <c r="N5" s="408"/>
      <c r="O5" s="395"/>
      <c r="P5" s="411"/>
      <c r="Q5" s="412"/>
      <c r="R5" s="413" t="s">
        <v>102</v>
      </c>
      <c r="S5" s="415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10">
        <v>17</v>
      </c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93"/>
    </row>
    <row r="8" spans="1:19" s="6" customFormat="1" ht="17.25">
      <c r="A8" s="7"/>
      <c r="B8" s="154" t="s">
        <v>9</v>
      </c>
      <c r="C8" s="70" t="s">
        <v>10</v>
      </c>
      <c r="D8" s="151">
        <f>D9+D15+D18+D19+D20+D37+D17</f>
        <v>1298451.1</v>
      </c>
      <c r="E8" s="151">
        <f>E9+E15+E18+E19+E20+E37+E17</f>
        <v>196245.5</v>
      </c>
      <c r="F8" s="151">
        <f>F9+F15+F18+F19+F20+F37+F17</f>
        <v>194831.47000000003</v>
      </c>
      <c r="G8" s="151">
        <f>#N/A</f>
        <v>-1414.0299999999697</v>
      </c>
      <c r="H8" s="152">
        <f>F8/E8*100</f>
        <v>99.27945863726814</v>
      </c>
      <c r="I8" s="153">
        <f>F8-D8</f>
        <v>-1103619.6300000001</v>
      </c>
      <c r="J8" s="153">
        <f>F8/D8*100</f>
        <v>15.004913931683683</v>
      </c>
      <c r="K8" s="151">
        <v>140423.02</v>
      </c>
      <c r="L8" s="151">
        <f>#N/A</f>
        <v>54408.45000000004</v>
      </c>
      <c r="M8" s="205">
        <f>#N/A</f>
        <v>1.3874610444925628</v>
      </c>
      <c r="N8" s="151">
        <f>N9+N15+N18+N19+N20+N17</f>
        <v>101878</v>
      </c>
      <c r="O8" s="151">
        <f>O9+O15+O18+O19+O20+O17</f>
        <v>100974.5</v>
      </c>
      <c r="P8" s="151">
        <f>O8-N8</f>
        <v>-903.5</v>
      </c>
      <c r="Q8" s="151">
        <f>O8/N8*100</f>
        <v>99.11315495003828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79</v>
      </c>
      <c r="C9" s="43">
        <v>11010000</v>
      </c>
      <c r="D9" s="150">
        <v>766645</v>
      </c>
      <c r="E9" s="150">
        <v>102200</v>
      </c>
      <c r="F9" s="156">
        <v>101885.94</v>
      </c>
      <c r="G9" s="150">
        <f>#N/A</f>
        <v>-314.0599999999977</v>
      </c>
      <c r="H9" s="157">
        <f>F9/E9*100</f>
        <v>99.69270058708415</v>
      </c>
      <c r="I9" s="158">
        <f>F9-D9</f>
        <v>-664759.06</v>
      </c>
      <c r="J9" s="158">
        <f>F9/D9*100</f>
        <v>13.289846017387449</v>
      </c>
      <c r="K9" s="227">
        <v>70324.6</v>
      </c>
      <c r="L9" s="159">
        <f>#N/A</f>
        <v>31561.339999999997</v>
      </c>
      <c r="M9" s="206">
        <f>#N/A</f>
        <v>1.4487951584509544</v>
      </c>
      <c r="N9" s="157">
        <f>E9-'січень 17'!E9</f>
        <v>54500</v>
      </c>
      <c r="O9" s="160">
        <f>F9-'січень 17'!F9</f>
        <v>54961.01</v>
      </c>
      <c r="P9" s="161">
        <f>O9-N9</f>
        <v>461.01000000000204</v>
      </c>
      <c r="Q9" s="158">
        <f>O9/N9*100</f>
        <v>100.8458899082569</v>
      </c>
      <c r="R9" s="100"/>
      <c r="S9" s="101"/>
      <c r="T9" s="147">
        <f>D9-E9</f>
        <v>664445</v>
      </c>
    </row>
    <row r="10" spans="1:20" s="6" customFormat="1" ht="15" hidden="1">
      <c r="A10" s="8"/>
      <c r="B10" s="121" t="s">
        <v>89</v>
      </c>
      <c r="C10" s="102">
        <v>11010100</v>
      </c>
      <c r="D10" s="103">
        <v>701317</v>
      </c>
      <c r="E10" s="103">
        <v>92348</v>
      </c>
      <c r="F10" s="140">
        <v>92726.64</v>
      </c>
      <c r="G10" s="103">
        <f>#N/A</f>
        <v>378.6399999999994</v>
      </c>
      <c r="H10" s="30">
        <f>#N/A</f>
        <v>100.4100142937584</v>
      </c>
      <c r="I10" s="104">
        <f>#N/A</f>
        <v>-608590.36</v>
      </c>
      <c r="J10" s="104">
        <f>#N/A</f>
        <v>13.22178700929822</v>
      </c>
      <c r="K10" s="106">
        <v>62213.95</v>
      </c>
      <c r="L10" s="106">
        <f>#N/A</f>
        <v>30512.690000000002</v>
      </c>
      <c r="M10" s="207">
        <f>#N/A</f>
        <v>1.4904477211300682</v>
      </c>
      <c r="N10" s="105">
        <f>E10-'січень 17'!E10</f>
        <v>49064</v>
      </c>
      <c r="O10" s="144">
        <f>F10-'січень 17'!F10</f>
        <v>49583.71</v>
      </c>
      <c r="P10" s="106">
        <f>#N/A</f>
        <v>519.7099999999991</v>
      </c>
      <c r="Q10" s="104">
        <f>#N/A</f>
        <v>101.05924914397522</v>
      </c>
      <c r="R10" s="37"/>
      <c r="S10" s="94"/>
      <c r="T10" s="147">
        <f>#N/A</f>
        <v>608969</v>
      </c>
    </row>
    <row r="11" spans="1:20" s="6" customFormat="1" ht="15" hidden="1">
      <c r="A11" s="8"/>
      <c r="B11" s="121" t="s">
        <v>85</v>
      </c>
      <c r="C11" s="102">
        <v>11010200</v>
      </c>
      <c r="D11" s="103">
        <v>46506</v>
      </c>
      <c r="E11" s="103">
        <v>7200</v>
      </c>
      <c r="F11" s="140">
        <v>5895.26</v>
      </c>
      <c r="G11" s="103">
        <f>#N/A</f>
        <v>-1304.7399999999998</v>
      </c>
      <c r="H11" s="30">
        <f>#N/A</f>
        <v>81.87861111111111</v>
      </c>
      <c r="I11" s="104">
        <f>#N/A</f>
        <v>-40610.74</v>
      </c>
      <c r="J11" s="104">
        <f>#N/A</f>
        <v>12.676342837483338</v>
      </c>
      <c r="K11" s="106">
        <v>5319.16</v>
      </c>
      <c r="L11" s="106">
        <f>#N/A</f>
        <v>576.1000000000004</v>
      </c>
      <c r="M11" s="207">
        <f>#N/A</f>
        <v>1.1083065747223246</v>
      </c>
      <c r="N11" s="105">
        <f>E11-'січень 17'!E11</f>
        <v>3600</v>
      </c>
      <c r="O11" s="144">
        <f>F11-'січень 17'!F11</f>
        <v>3213.5600000000004</v>
      </c>
      <c r="P11" s="106">
        <f>#N/A</f>
        <v>-386.4399999999996</v>
      </c>
      <c r="Q11" s="104">
        <f>#N/A</f>
        <v>89.26555555555557</v>
      </c>
      <c r="R11" s="37"/>
      <c r="S11" s="94"/>
      <c r="T11" s="147">
        <f>#N/A</f>
        <v>39306</v>
      </c>
    </row>
    <row r="12" spans="1:20" s="6" customFormat="1" ht="15" hidden="1">
      <c r="A12" s="8"/>
      <c r="B12" s="121" t="s">
        <v>88</v>
      </c>
      <c r="C12" s="102">
        <v>11010400</v>
      </c>
      <c r="D12" s="103">
        <v>8280</v>
      </c>
      <c r="E12" s="103">
        <v>840</v>
      </c>
      <c r="F12" s="140">
        <v>1037.42</v>
      </c>
      <c r="G12" s="103">
        <f>#N/A</f>
        <v>197.42000000000007</v>
      </c>
      <c r="H12" s="30">
        <f>#N/A</f>
        <v>123.50238095238095</v>
      </c>
      <c r="I12" s="104">
        <f>#N/A</f>
        <v>-7242.58</v>
      </c>
      <c r="J12" s="104">
        <f>#N/A</f>
        <v>12.529227053140096</v>
      </c>
      <c r="K12" s="106">
        <v>822.03</v>
      </c>
      <c r="L12" s="106">
        <f>#N/A</f>
        <v>215.3900000000001</v>
      </c>
      <c r="M12" s="207">
        <f>#N/A</f>
        <v>1.2620220673211442</v>
      </c>
      <c r="N12" s="105">
        <f>E12-'січень 17'!E12</f>
        <v>420</v>
      </c>
      <c r="O12" s="144">
        <f>F12-'січень 17'!F12</f>
        <v>536.99</v>
      </c>
      <c r="P12" s="106">
        <f>#N/A</f>
        <v>116.99000000000001</v>
      </c>
      <c r="Q12" s="104">
        <f>#N/A</f>
        <v>127.8547619047619</v>
      </c>
      <c r="R12" s="37"/>
      <c r="S12" s="94"/>
      <c r="T12" s="147">
        <f>#N/A</f>
        <v>7440</v>
      </c>
    </row>
    <row r="13" spans="1:20" s="6" customFormat="1" ht="15" hidden="1">
      <c r="A13" s="8"/>
      <c r="B13" s="121" t="s">
        <v>86</v>
      </c>
      <c r="C13" s="102">
        <v>11010500</v>
      </c>
      <c r="D13" s="103">
        <v>9390</v>
      </c>
      <c r="E13" s="103">
        <v>1620</v>
      </c>
      <c r="F13" s="140">
        <v>2028.32</v>
      </c>
      <c r="G13" s="103">
        <f>#N/A</f>
        <v>408.31999999999994</v>
      </c>
      <c r="H13" s="30">
        <f>#N/A</f>
        <v>125.20493827160493</v>
      </c>
      <c r="I13" s="104">
        <f>#N/A</f>
        <v>-7361.68</v>
      </c>
      <c r="J13" s="104">
        <f>#N/A</f>
        <v>21.600851970181044</v>
      </c>
      <c r="K13" s="106">
        <v>1514.49</v>
      </c>
      <c r="L13" s="106">
        <f>#N/A</f>
        <v>513.8299999999999</v>
      </c>
      <c r="M13" s="207">
        <f>#N/A</f>
        <v>1.339275927870108</v>
      </c>
      <c r="N13" s="105">
        <f>E13-'січень 17'!E13</f>
        <v>1320</v>
      </c>
      <c r="O13" s="144">
        <f>F13-'січень 17'!F13</f>
        <v>1528.96</v>
      </c>
      <c r="P13" s="106">
        <f>#N/A</f>
        <v>208.96000000000004</v>
      </c>
      <c r="Q13" s="104">
        <f>#N/A</f>
        <v>115.83030303030304</v>
      </c>
      <c r="R13" s="37"/>
      <c r="S13" s="94"/>
      <c r="T13" s="147">
        <f>#N/A</f>
        <v>7770</v>
      </c>
    </row>
    <row r="14" spans="1:22" s="6" customFormat="1" ht="15" hidden="1">
      <c r="A14" s="8"/>
      <c r="B14" s="121" t="s">
        <v>87</v>
      </c>
      <c r="C14" s="102">
        <v>11010900</v>
      </c>
      <c r="D14" s="103">
        <v>1152</v>
      </c>
      <c r="E14" s="103">
        <v>192</v>
      </c>
      <c r="F14" s="140">
        <v>198.31</v>
      </c>
      <c r="G14" s="103">
        <f>#N/A</f>
        <v>6.310000000000002</v>
      </c>
      <c r="H14" s="30">
        <f>#N/A</f>
        <v>103.28645833333334</v>
      </c>
      <c r="I14" s="104">
        <f>#N/A</f>
        <v>-953.69</v>
      </c>
      <c r="J14" s="104">
        <f>#N/A</f>
        <v>17.214409722222225</v>
      </c>
      <c r="K14" s="106">
        <v>454.97</v>
      </c>
      <c r="L14" s="106">
        <f>#N/A</f>
        <v>-256.66</v>
      </c>
      <c r="M14" s="207">
        <f>#N/A</f>
        <v>0.435874892850078</v>
      </c>
      <c r="N14" s="105">
        <f>E14-'січень 17'!E14</f>
        <v>96</v>
      </c>
      <c r="O14" s="144">
        <f>F14-'січень 17'!F14</f>
        <v>97.81</v>
      </c>
      <c r="P14" s="106">
        <f>#N/A</f>
        <v>1.8100000000000023</v>
      </c>
      <c r="Q14" s="104">
        <f>#N/A</f>
        <v>101.88541666666666</v>
      </c>
      <c r="R14" s="37"/>
      <c r="S14" s="94"/>
      <c r="T14" s="147">
        <f>#N/A</f>
        <v>960</v>
      </c>
      <c r="U14" s="224"/>
      <c r="V14" s="147"/>
    </row>
    <row r="15" spans="1:20" s="6" customFormat="1" ht="30.75">
      <c r="A15" s="8"/>
      <c r="B15" s="12" t="s">
        <v>11</v>
      </c>
      <c r="C15" s="43">
        <v>11020200</v>
      </c>
      <c r="D15" s="150">
        <v>551</v>
      </c>
      <c r="E15" s="150">
        <v>51</v>
      </c>
      <c r="F15" s="156">
        <v>13.91</v>
      </c>
      <c r="G15" s="150">
        <f>#N/A</f>
        <v>-37.09</v>
      </c>
      <c r="H15" s="157">
        <f>F15/E15*100</f>
        <v>27.27450980392157</v>
      </c>
      <c r="I15" s="158">
        <f>#N/A</f>
        <v>-537.09</v>
      </c>
      <c r="J15" s="158">
        <f>#N/A</f>
        <v>2.5245009074410163</v>
      </c>
      <c r="K15" s="161">
        <v>85.14</v>
      </c>
      <c r="L15" s="161">
        <f>#N/A</f>
        <v>-71.23</v>
      </c>
      <c r="M15" s="208">
        <f>#N/A</f>
        <v>0.1633779657035471</v>
      </c>
      <c r="N15" s="137">
        <f>E15-'січень 17'!E15</f>
        <v>51</v>
      </c>
      <c r="O15" s="145">
        <f>F15-'січень 17'!F15</f>
        <v>13.91</v>
      </c>
      <c r="P15" s="161">
        <f>#N/A</f>
        <v>-37.09</v>
      </c>
      <c r="Q15" s="158">
        <f>#N/A</f>
        <v>27.27450980392157</v>
      </c>
      <c r="R15" s="37"/>
      <c r="S15" s="94"/>
      <c r="T15" s="147">
        <f>#N/A</f>
        <v>500</v>
      </c>
    </row>
    <row r="16" spans="1:20" s="6" customFormat="1" ht="18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>#N/A</f>
        <v>0</v>
      </c>
      <c r="H16" s="157" t="e">
        <f>F16/E16/100</f>
        <v>#DIV/0!</v>
      </c>
      <c r="I16" s="37">
        <f>#N/A</f>
        <v>0</v>
      </c>
      <c r="J16" s="37" t="e">
        <f>#N/A</f>
        <v>#DIV/0!</v>
      </c>
      <c r="K16" s="106">
        <v>381.9</v>
      </c>
      <c r="L16" s="161">
        <f>#N/A</f>
        <v>-381.9</v>
      </c>
      <c r="M16" s="208">
        <f>#N/A</f>
        <v>0</v>
      </c>
      <c r="N16" s="157">
        <f>E16-'січень 17'!E16</f>
        <v>0</v>
      </c>
      <c r="O16" s="160">
        <f>F16-'січень 17'!F16</f>
        <v>0</v>
      </c>
      <c r="P16" s="36">
        <f>#N/A</f>
        <v>0</v>
      </c>
      <c r="Q16" s="158" t="e">
        <f>#N/A</f>
        <v>#DIV/0!</v>
      </c>
      <c r="R16" s="104">
        <f>O16-358.81</f>
        <v>-358.81</v>
      </c>
      <c r="S16" s="109">
        <f>O16/358.79</f>
        <v>0</v>
      </c>
      <c r="T16" s="147">
        <f>#N/A</f>
        <v>0</v>
      </c>
    </row>
    <row r="17" spans="1:20" s="6" customFormat="1" ht="30.75" hidden="1">
      <c r="A17" s="8"/>
      <c r="B17" s="232" t="s">
        <v>116</v>
      </c>
      <c r="C17" s="120">
        <v>13010200</v>
      </c>
      <c r="D17" s="162">
        <v>0</v>
      </c>
      <c r="E17" s="162">
        <v>0</v>
      </c>
      <c r="F17" s="163">
        <v>0</v>
      </c>
      <c r="G17" s="162">
        <f>#N/A</f>
        <v>0</v>
      </c>
      <c r="H17" s="157" t="e">
        <f>F17/E17/100</f>
        <v>#DIV/0!</v>
      </c>
      <c r="I17" s="165">
        <f>#N/A</f>
        <v>0</v>
      </c>
      <c r="J17" s="165"/>
      <c r="K17" s="167">
        <v>0.14</v>
      </c>
      <c r="L17" s="161">
        <f>#N/A</f>
        <v>-0.14</v>
      </c>
      <c r="M17" s="208">
        <f>#N/A</f>
        <v>0</v>
      </c>
      <c r="N17" s="157">
        <f>E17-'січень 17'!E17</f>
        <v>0</v>
      </c>
      <c r="O17" s="160">
        <f>F17-'січень 17'!F17</f>
        <v>0</v>
      </c>
      <c r="P17" s="167">
        <f>#N/A</f>
        <v>0</v>
      </c>
      <c r="Q17" s="158" t="e">
        <f>#N/A</f>
        <v>#DIV/0!</v>
      </c>
      <c r="R17" s="104"/>
      <c r="S17" s="109"/>
      <c r="T17" s="147">
        <f>#N/A</f>
        <v>0</v>
      </c>
    </row>
    <row r="18" spans="1:20" s="6" customFormat="1" ht="30.75">
      <c r="A18" s="8"/>
      <c r="B18" s="13" t="s">
        <v>117</v>
      </c>
      <c r="C18" s="43">
        <v>13030200</v>
      </c>
      <c r="D18" s="150">
        <v>125</v>
      </c>
      <c r="E18" s="150">
        <v>70</v>
      </c>
      <c r="F18" s="156">
        <v>118.46</v>
      </c>
      <c r="G18" s="150">
        <f>#N/A</f>
        <v>48.459999999999994</v>
      </c>
      <c r="H18" s="157">
        <f>F18/E18*100</f>
        <v>169.22857142857143</v>
      </c>
      <c r="I18" s="158">
        <f>#N/A</f>
        <v>-6.540000000000006</v>
      </c>
      <c r="J18" s="158">
        <f>#N/A</f>
        <v>94.768</v>
      </c>
      <c r="K18" s="161">
        <v>105.8</v>
      </c>
      <c r="L18" s="161">
        <f>#N/A</f>
        <v>12.659999999999997</v>
      </c>
      <c r="M18" s="208">
        <f>#N/A</f>
        <v>1.1196597353497164</v>
      </c>
      <c r="N18" s="157">
        <f>E18-'січень 17'!E18</f>
        <v>70</v>
      </c>
      <c r="O18" s="160">
        <f>F18-'січень 17'!F18</f>
        <v>118.46</v>
      </c>
      <c r="P18" s="161">
        <f>#N/A</f>
        <v>48.459999999999994</v>
      </c>
      <c r="Q18" s="158">
        <f>#N/A</f>
        <v>169.22857142857143</v>
      </c>
      <c r="R18" s="37"/>
      <c r="S18" s="94"/>
      <c r="T18" s="147">
        <f>#N/A</f>
        <v>55</v>
      </c>
    </row>
    <row r="19" spans="1:20" s="6" customFormat="1" ht="46.5">
      <c r="A19" s="8"/>
      <c r="B19" s="44" t="s">
        <v>72</v>
      </c>
      <c r="C19" s="43">
        <v>14040000</v>
      </c>
      <c r="D19" s="150">
        <v>130000</v>
      </c>
      <c r="E19" s="150">
        <v>18000</v>
      </c>
      <c r="F19" s="156">
        <v>13705.91</v>
      </c>
      <c r="G19" s="150">
        <f>#N/A</f>
        <v>-4294.09</v>
      </c>
      <c r="H19" s="157">
        <f>#N/A</f>
        <v>76.14394444444444</v>
      </c>
      <c r="I19" s="158">
        <f>#N/A</f>
        <v>-116294.09</v>
      </c>
      <c r="J19" s="158">
        <f>#N/A</f>
        <v>10.543007692307691</v>
      </c>
      <c r="K19" s="169">
        <v>10861</v>
      </c>
      <c r="L19" s="161">
        <f>#N/A</f>
        <v>2844.91</v>
      </c>
      <c r="M19" s="213">
        <f>#N/A</f>
        <v>1.2619381272442685</v>
      </c>
      <c r="N19" s="157">
        <f>E19-'січень 17'!E19</f>
        <v>8300</v>
      </c>
      <c r="O19" s="160">
        <f>F19-'січень 17'!F19</f>
        <v>3954.16</v>
      </c>
      <c r="P19" s="161">
        <f>#N/A</f>
        <v>-4345.84</v>
      </c>
      <c r="Q19" s="158">
        <f>#N/A</f>
        <v>47.640481927710844</v>
      </c>
      <c r="R19" s="107"/>
      <c r="S19" s="108"/>
      <c r="T19" s="147">
        <f>#N/A</f>
        <v>112000</v>
      </c>
    </row>
    <row r="20" spans="1:20" s="6" customFormat="1" ht="18">
      <c r="A20" s="8"/>
      <c r="B20" s="117" t="s">
        <v>73</v>
      </c>
      <c r="C20" s="43">
        <v>18000000</v>
      </c>
      <c r="D20" s="150">
        <f>D21+D30+D32+D29</f>
        <v>401130.1</v>
      </c>
      <c r="E20" s="150">
        <f>E21+E30+E32+E29</f>
        <v>75924.5</v>
      </c>
      <c r="F20" s="223">
        <f>F21+F29+F30+F31+F32</f>
        <v>79107.25</v>
      </c>
      <c r="G20" s="150">
        <f>#N/A</f>
        <v>3182.75</v>
      </c>
      <c r="H20" s="157">
        <f>#N/A</f>
        <v>104.19199336182655</v>
      </c>
      <c r="I20" s="158">
        <f>#N/A</f>
        <v>-322022.85</v>
      </c>
      <c r="J20" s="158">
        <f>#N/A</f>
        <v>19.721095475009232</v>
      </c>
      <c r="K20" s="158">
        <v>59046.44</v>
      </c>
      <c r="L20" s="161">
        <f>#N/A</f>
        <v>20060.809999999998</v>
      </c>
      <c r="M20" s="209">
        <f>#N/A</f>
        <v>1.3397463081601533</v>
      </c>
      <c r="N20" s="157">
        <f>E20-'січень 17'!E20</f>
        <v>38957</v>
      </c>
      <c r="O20" s="160">
        <f>F20-'січень 17'!F20</f>
        <v>41926.96</v>
      </c>
      <c r="P20" s="161">
        <f>#N/A</f>
        <v>2969.959999999999</v>
      </c>
      <c r="Q20" s="158">
        <f>#N/A</f>
        <v>107.62368765562029</v>
      </c>
      <c r="R20" s="107"/>
      <c r="S20" s="108"/>
      <c r="T20" s="147">
        <f>#N/A</f>
        <v>325205.6</v>
      </c>
    </row>
    <row r="21" spans="1:20" s="6" customFormat="1" ht="18">
      <c r="A21" s="8"/>
      <c r="B21" s="44" t="s">
        <v>81</v>
      </c>
      <c r="C21" s="114">
        <v>18010000</v>
      </c>
      <c r="D21" s="150">
        <f>D22+D25+D26</f>
        <v>206621</v>
      </c>
      <c r="E21" s="150">
        <f>E22+E25+E26</f>
        <v>32080.8</v>
      </c>
      <c r="F21" s="170">
        <f>F22+F25+F26</f>
        <v>31455.05</v>
      </c>
      <c r="G21" s="150">
        <f>#N/A</f>
        <v>-625.75</v>
      </c>
      <c r="H21" s="157">
        <f>#N/A</f>
        <v>98.04945637265904</v>
      </c>
      <c r="I21" s="158">
        <f>#N/A</f>
        <v>-175165.95</v>
      </c>
      <c r="J21" s="158">
        <f>#N/A</f>
        <v>15.22354939720551</v>
      </c>
      <c r="K21" s="158">
        <v>25484.06</v>
      </c>
      <c r="L21" s="161">
        <f>#N/A</f>
        <v>5970.989999999998</v>
      </c>
      <c r="M21" s="209">
        <f>#N/A</f>
        <v>1.2343029328921686</v>
      </c>
      <c r="N21" s="157">
        <f>E21-'січень 17'!E21</f>
        <v>15335</v>
      </c>
      <c r="O21" s="160">
        <f>F21-'січень 17'!F21</f>
        <v>14934.77</v>
      </c>
      <c r="P21" s="161">
        <f>#N/A</f>
        <v>-400.22999999999956</v>
      </c>
      <c r="Q21" s="158">
        <f>#N/A</f>
        <v>97.39008803390936</v>
      </c>
      <c r="R21" s="107"/>
      <c r="S21" s="108"/>
      <c r="T21" s="147">
        <f>#N/A</f>
        <v>174540.2</v>
      </c>
    </row>
    <row r="22" spans="1:21" s="6" customFormat="1" ht="18">
      <c r="A22" s="8"/>
      <c r="B22" s="50" t="s">
        <v>74</v>
      </c>
      <c r="C22" s="123"/>
      <c r="D22" s="171">
        <v>22809</v>
      </c>
      <c r="E22" s="171">
        <v>4375</v>
      </c>
      <c r="F22" s="172">
        <v>4408.21</v>
      </c>
      <c r="G22" s="171">
        <f>#N/A</f>
        <v>33.210000000000036</v>
      </c>
      <c r="H22" s="173">
        <f>#N/A</f>
        <v>100.75908571428572</v>
      </c>
      <c r="I22" s="174">
        <f>#N/A</f>
        <v>-18400.79</v>
      </c>
      <c r="J22" s="174">
        <f>#N/A</f>
        <v>19.326625454864306</v>
      </c>
      <c r="K22" s="175">
        <v>3552.77</v>
      </c>
      <c r="L22" s="166">
        <f>#N/A</f>
        <v>855.44</v>
      </c>
      <c r="M22" s="215">
        <f>#N/A</f>
        <v>1.2407811369719965</v>
      </c>
      <c r="N22" s="195">
        <f>E22-'січень 17'!E22</f>
        <v>225</v>
      </c>
      <c r="O22" s="179">
        <f>F22-'січень 17'!F22</f>
        <v>588.5999999999999</v>
      </c>
      <c r="P22" s="177">
        <f>#N/A</f>
        <v>363.5999999999999</v>
      </c>
      <c r="Q22" s="174">
        <f>#N/A</f>
        <v>261.59999999999997</v>
      </c>
      <c r="R22" s="107"/>
      <c r="S22" s="108"/>
      <c r="T22" s="147">
        <f>#N/A</f>
        <v>18434</v>
      </c>
      <c r="U22" s="147"/>
    </row>
    <row r="23" spans="1:21" s="6" customFormat="1" ht="18" hidden="1">
      <c r="A23" s="8"/>
      <c r="B23" s="196" t="s">
        <v>109</v>
      </c>
      <c r="C23" s="197"/>
      <c r="D23" s="198">
        <v>1822.3</v>
      </c>
      <c r="E23" s="198">
        <v>195</v>
      </c>
      <c r="F23" s="163">
        <v>150.23</v>
      </c>
      <c r="G23" s="198">
        <f>#N/A</f>
        <v>-44.77000000000001</v>
      </c>
      <c r="H23" s="199">
        <f>#N/A</f>
        <v>77.04102564102564</v>
      </c>
      <c r="I23" s="200">
        <f>#N/A</f>
        <v>-1672.07</v>
      </c>
      <c r="J23" s="200">
        <f>#N/A</f>
        <v>8.243977391208912</v>
      </c>
      <c r="K23" s="200">
        <v>146.88</v>
      </c>
      <c r="L23" s="200">
        <f>#N/A</f>
        <v>3.3499999999999943</v>
      </c>
      <c r="M23" s="228">
        <f>#N/A</f>
        <v>1.022807734204793</v>
      </c>
      <c r="N23" s="237">
        <f>E23-'січень 17'!E23</f>
        <v>55</v>
      </c>
      <c r="O23" s="237">
        <f>F23-'січень 17'!F23</f>
        <v>29.859999999999985</v>
      </c>
      <c r="P23" s="200">
        <f>#N/A</f>
        <v>-25.140000000000015</v>
      </c>
      <c r="Q23" s="200">
        <f>#N/A</f>
        <v>54.29090909090907</v>
      </c>
      <c r="R23" s="107"/>
      <c r="S23" s="108"/>
      <c r="T23" s="147">
        <f>#N/A</f>
        <v>1627.3</v>
      </c>
      <c r="U23" s="147"/>
    </row>
    <row r="24" spans="1:21" s="6" customFormat="1" ht="18" hidden="1">
      <c r="A24" s="8"/>
      <c r="B24" s="196" t="s">
        <v>110</v>
      </c>
      <c r="C24" s="197"/>
      <c r="D24" s="198">
        <v>20986.7</v>
      </c>
      <c r="E24" s="198">
        <v>4180</v>
      </c>
      <c r="F24" s="163">
        <v>4257.98</v>
      </c>
      <c r="G24" s="198">
        <f>#N/A</f>
        <v>77.97999999999956</v>
      </c>
      <c r="H24" s="199">
        <f>#N/A</f>
        <v>101.86555023923445</v>
      </c>
      <c r="I24" s="200">
        <f>#N/A</f>
        <v>-16728.72</v>
      </c>
      <c r="J24" s="200">
        <f>#N/A</f>
        <v>20.288944903200594</v>
      </c>
      <c r="K24" s="200">
        <v>3405.89</v>
      </c>
      <c r="L24" s="200">
        <f>#N/A</f>
        <v>852.0899999999997</v>
      </c>
      <c r="M24" s="228">
        <f>#N/A</f>
        <v>1.2501813035652942</v>
      </c>
      <c r="N24" s="237">
        <f>E24-'січень 17'!E24</f>
        <v>170</v>
      </c>
      <c r="O24" s="237">
        <f>F24-'січень 17'!F24</f>
        <v>558.7399999999998</v>
      </c>
      <c r="P24" s="200">
        <f>#N/A</f>
        <v>388.7399999999998</v>
      </c>
      <c r="Q24" s="200">
        <f>#N/A</f>
        <v>328.670588235294</v>
      </c>
      <c r="R24" s="107"/>
      <c r="S24" s="108"/>
      <c r="T24" s="147">
        <f>#N/A</f>
        <v>16806.7</v>
      </c>
      <c r="U24" s="147"/>
    </row>
    <row r="25" spans="1:20" s="6" customFormat="1" ht="18">
      <c r="A25" s="8"/>
      <c r="B25" s="50" t="s">
        <v>75</v>
      </c>
      <c r="C25" s="123"/>
      <c r="D25" s="171">
        <v>820</v>
      </c>
      <c r="E25" s="171">
        <v>50.8</v>
      </c>
      <c r="F25" s="172">
        <v>79.17</v>
      </c>
      <c r="G25" s="171">
        <f>#N/A</f>
        <v>28.370000000000005</v>
      </c>
      <c r="H25" s="173">
        <f>#N/A</f>
        <v>155.8464566929134</v>
      </c>
      <c r="I25" s="174">
        <f>#N/A</f>
        <v>-740.83</v>
      </c>
      <c r="J25" s="174">
        <f>#N/A</f>
        <v>9.654878048780487</v>
      </c>
      <c r="K25" s="174">
        <v>174.21</v>
      </c>
      <c r="L25" s="174">
        <f>#N/A</f>
        <v>-95.04</v>
      </c>
      <c r="M25" s="212">
        <f>#N/A</f>
        <v>0.4544515240227312</v>
      </c>
      <c r="N25" s="195">
        <f>E25-'січень 17'!E25</f>
        <v>5</v>
      </c>
      <c r="O25" s="179">
        <f>F25-'січень 17'!F25</f>
        <v>27.090000000000003</v>
      </c>
      <c r="P25" s="177">
        <f>#N/A</f>
        <v>22.090000000000003</v>
      </c>
      <c r="Q25" s="174">
        <f>O25/N25*100</f>
        <v>541.8000000000001</v>
      </c>
      <c r="R25" s="107"/>
      <c r="S25" s="108"/>
      <c r="T25" s="147">
        <f>#N/A</f>
        <v>769.2</v>
      </c>
    </row>
    <row r="26" spans="1:20" s="6" customFormat="1" ht="18">
      <c r="A26" s="8"/>
      <c r="B26" s="50" t="s">
        <v>76</v>
      </c>
      <c r="C26" s="123"/>
      <c r="D26" s="171">
        <v>182992</v>
      </c>
      <c r="E26" s="171">
        <v>27655</v>
      </c>
      <c r="F26" s="172">
        <v>26967.67</v>
      </c>
      <c r="G26" s="171">
        <f>#N/A</f>
        <v>-687.3300000000017</v>
      </c>
      <c r="H26" s="173">
        <f>#N/A</f>
        <v>97.51462664979208</v>
      </c>
      <c r="I26" s="174">
        <f>#N/A</f>
        <v>-156024.33000000002</v>
      </c>
      <c r="J26" s="174">
        <f>#N/A</f>
        <v>14.73707593774591</v>
      </c>
      <c r="K26" s="175">
        <v>21757.07</v>
      </c>
      <c r="L26" s="175">
        <f>#N/A</f>
        <v>5210.5999999999985</v>
      </c>
      <c r="M26" s="211">
        <f>#N/A</f>
        <v>1.2394899680885338</v>
      </c>
      <c r="N26" s="195">
        <f>E26-'січень 17'!E26</f>
        <v>15105</v>
      </c>
      <c r="O26" s="179">
        <f>F26-'січень 17'!F26</f>
        <v>14319.079999999998</v>
      </c>
      <c r="P26" s="177">
        <f>#N/A</f>
        <v>-785.9200000000019</v>
      </c>
      <c r="Q26" s="174">
        <f>O26/N26*100</f>
        <v>94.79695465077788</v>
      </c>
      <c r="R26" s="107"/>
      <c r="S26" s="108"/>
      <c r="T26" s="147">
        <f>#N/A</f>
        <v>155337</v>
      </c>
    </row>
    <row r="27" spans="1:20" s="6" customFormat="1" ht="18" hidden="1">
      <c r="A27" s="8"/>
      <c r="B27" s="196" t="s">
        <v>111</v>
      </c>
      <c r="C27" s="197"/>
      <c r="D27" s="198">
        <v>57533</v>
      </c>
      <c r="E27" s="198">
        <v>8180</v>
      </c>
      <c r="F27" s="163">
        <v>8859.21</v>
      </c>
      <c r="G27" s="198">
        <f>#N/A</f>
        <v>679.2099999999991</v>
      </c>
      <c r="H27" s="199">
        <f>#N/A</f>
        <v>108.30330073349631</v>
      </c>
      <c r="I27" s="200">
        <f>#N/A</f>
        <v>-48673.79</v>
      </c>
      <c r="J27" s="200">
        <f>#N/A</f>
        <v>15.398484348113255</v>
      </c>
      <c r="K27" s="200">
        <v>6708.33</v>
      </c>
      <c r="L27" s="200">
        <f>#N/A</f>
        <v>2150.879999999999</v>
      </c>
      <c r="M27" s="228">
        <f>#N/A</f>
        <v>1.3206282338525384</v>
      </c>
      <c r="N27" s="237">
        <f>E27-'січень 17'!E27</f>
        <v>4650</v>
      </c>
      <c r="O27" s="237">
        <f>F27-'січень 17'!F27</f>
        <v>5059.3499999999985</v>
      </c>
      <c r="P27" s="200">
        <f>#N/A</f>
        <v>409.34999999999854</v>
      </c>
      <c r="Q27" s="200">
        <f>O27/N27*100</f>
        <v>108.8032258064516</v>
      </c>
      <c r="R27" s="107"/>
      <c r="S27" s="108"/>
      <c r="T27" s="147">
        <f>#N/A</f>
        <v>49353</v>
      </c>
    </row>
    <row r="28" spans="1:20" s="6" customFormat="1" ht="18" hidden="1">
      <c r="A28" s="8"/>
      <c r="B28" s="196" t="s">
        <v>112</v>
      </c>
      <c r="C28" s="197"/>
      <c r="D28" s="198">
        <v>125459</v>
      </c>
      <c r="E28" s="198">
        <v>19475</v>
      </c>
      <c r="F28" s="163">
        <v>18108.46</v>
      </c>
      <c r="G28" s="198">
        <f>#N/A</f>
        <v>-1366.5400000000009</v>
      </c>
      <c r="H28" s="199">
        <f>#N/A</f>
        <v>92.98310654685493</v>
      </c>
      <c r="I28" s="200">
        <f>#N/A</f>
        <v>-107350.54000000001</v>
      </c>
      <c r="J28" s="200">
        <f>#N/A</f>
        <v>14.433767206816569</v>
      </c>
      <c r="K28" s="200">
        <v>15048.75</v>
      </c>
      <c r="L28" s="200">
        <f>#N/A</f>
        <v>3059.709999999999</v>
      </c>
      <c r="M28" s="228">
        <f>#N/A</f>
        <v>1.2033198770662015</v>
      </c>
      <c r="N28" s="237">
        <f>E28-'січень 17'!E28</f>
        <v>10455</v>
      </c>
      <c r="O28" s="237">
        <f>F28-'січень 17'!F28</f>
        <v>9259.73</v>
      </c>
      <c r="P28" s="200">
        <f>#N/A</f>
        <v>-1195.2700000000004</v>
      </c>
      <c r="Q28" s="200">
        <f>O28/N28*100</f>
        <v>88.56747967479674</v>
      </c>
      <c r="R28" s="107"/>
      <c r="S28" s="108"/>
      <c r="T28" s="147">
        <f>#N/A</f>
        <v>105984</v>
      </c>
    </row>
    <row r="29" spans="1:20" s="6" customFormat="1" ht="18">
      <c r="A29" s="8"/>
      <c r="B29" s="225" t="s">
        <v>115</v>
      </c>
      <c r="C29" s="222">
        <v>18020000</v>
      </c>
      <c r="D29" s="162">
        <v>0</v>
      </c>
      <c r="E29" s="162">
        <v>0</v>
      </c>
      <c r="F29" s="199">
        <v>0.2</v>
      </c>
      <c r="G29" s="150">
        <f>#N/A</f>
        <v>0.2</v>
      </c>
      <c r="H29" s="157"/>
      <c r="I29" s="158">
        <f>#N/A</f>
        <v>0.2</v>
      </c>
      <c r="J29" s="158"/>
      <c r="K29" s="167">
        <v>0</v>
      </c>
      <c r="L29" s="158">
        <f>#N/A</f>
        <v>0.2</v>
      </c>
      <c r="M29" s="210"/>
      <c r="N29" s="157">
        <f>E29-'січень 17'!E29</f>
        <v>0</v>
      </c>
      <c r="O29" s="160">
        <f>F29-'січень 17'!F29</f>
        <v>0</v>
      </c>
      <c r="P29" s="161">
        <f>#N/A</f>
        <v>0</v>
      </c>
      <c r="Q29" s="158"/>
      <c r="R29" s="107"/>
      <c r="S29" s="108"/>
      <c r="T29" s="147">
        <f>#N/A</f>
        <v>0</v>
      </c>
    </row>
    <row r="30" spans="1:20" s="6" customFormat="1" ht="18">
      <c r="A30" s="8"/>
      <c r="B30" s="44" t="s">
        <v>82</v>
      </c>
      <c r="C30" s="114">
        <v>18030000</v>
      </c>
      <c r="D30" s="150">
        <v>115</v>
      </c>
      <c r="E30" s="150">
        <v>15</v>
      </c>
      <c r="F30" s="156">
        <v>34.2</v>
      </c>
      <c r="G30" s="150">
        <f>#N/A</f>
        <v>19.200000000000003</v>
      </c>
      <c r="H30" s="157">
        <f>#N/A</f>
        <v>228.00000000000003</v>
      </c>
      <c r="I30" s="158">
        <f>#N/A</f>
        <v>-80.8</v>
      </c>
      <c r="J30" s="158">
        <f>#N/A</f>
        <v>29.739130434782613</v>
      </c>
      <c r="K30" s="158">
        <v>20.81</v>
      </c>
      <c r="L30" s="158">
        <f>#N/A</f>
        <v>13.390000000000004</v>
      </c>
      <c r="M30" s="210">
        <f>F30/K30</f>
        <v>1.6434406535319561</v>
      </c>
      <c r="N30" s="157">
        <f>E30-'січень 17'!E30</f>
        <v>12</v>
      </c>
      <c r="O30" s="160">
        <f>F30-'січень 17'!F30</f>
        <v>21.14</v>
      </c>
      <c r="P30" s="161">
        <f>#N/A</f>
        <v>9.14</v>
      </c>
      <c r="Q30" s="158">
        <f>O30/N30*100</f>
        <v>176.16666666666669</v>
      </c>
      <c r="R30" s="107"/>
      <c r="S30" s="108"/>
      <c r="T30" s="147">
        <f>#N/A</f>
        <v>100</v>
      </c>
    </row>
    <row r="31" spans="1:20" s="6" customFormat="1" ht="30.75">
      <c r="A31" s="8"/>
      <c r="B31" s="225" t="s">
        <v>83</v>
      </c>
      <c r="C31" s="114">
        <v>18040000</v>
      </c>
      <c r="D31" s="150"/>
      <c r="E31" s="150"/>
      <c r="F31" s="156">
        <v>-10.76</v>
      </c>
      <c r="G31" s="150">
        <f>#N/A</f>
        <v>-10.76</v>
      </c>
      <c r="H31" s="157"/>
      <c r="I31" s="158">
        <f>#N/A</f>
        <v>-10.76</v>
      </c>
      <c r="J31" s="158"/>
      <c r="K31" s="158">
        <v>-52.93</v>
      </c>
      <c r="L31" s="158">
        <f>#N/A</f>
        <v>42.17</v>
      </c>
      <c r="M31" s="210">
        <f>F31/K31</f>
        <v>0.20328736066502928</v>
      </c>
      <c r="N31" s="157">
        <f>E31-'січень 17'!E31</f>
        <v>0</v>
      </c>
      <c r="O31" s="160">
        <f>F31-'січень 17'!F31</f>
        <v>-7.83</v>
      </c>
      <c r="P31" s="161">
        <f>#N/A</f>
        <v>-7.83</v>
      </c>
      <c r="Q31" s="158"/>
      <c r="R31" s="107"/>
      <c r="S31" s="108"/>
      <c r="T31" s="147">
        <f>#N/A</f>
        <v>0</v>
      </c>
    </row>
    <row r="32" spans="1:20" s="6" customFormat="1" ht="18">
      <c r="A32" s="8"/>
      <c r="B32" s="44" t="s">
        <v>84</v>
      </c>
      <c r="C32" s="114">
        <v>18050000</v>
      </c>
      <c r="D32" s="162">
        <v>194394.1</v>
      </c>
      <c r="E32" s="162">
        <v>43828.7</v>
      </c>
      <c r="F32" s="163">
        <v>47628.56</v>
      </c>
      <c r="G32" s="162">
        <f>#N/A</f>
        <v>3799.8600000000006</v>
      </c>
      <c r="H32" s="164">
        <f>#N/A</f>
        <v>108.66979855665353</v>
      </c>
      <c r="I32" s="165">
        <f>#N/A</f>
        <v>-146765.54</v>
      </c>
      <c r="J32" s="165">
        <f>#N/A</f>
        <v>24.501031667113352</v>
      </c>
      <c r="K32" s="178">
        <v>33594.51</v>
      </c>
      <c r="L32" s="178">
        <f>F32-K32</f>
        <v>14034.049999999996</v>
      </c>
      <c r="M32" s="226">
        <f>F32/K32</f>
        <v>1.4177483166148277</v>
      </c>
      <c r="N32" s="157">
        <f>E32-'січень 17'!E32</f>
        <v>23609.999999999996</v>
      </c>
      <c r="O32" s="160">
        <f>F32-'січень 17'!F32</f>
        <v>26978.879999999997</v>
      </c>
      <c r="P32" s="167">
        <f>#N/A</f>
        <v>3368.880000000001</v>
      </c>
      <c r="Q32" s="165">
        <f>O32/N32*100</f>
        <v>114.26886912325287</v>
      </c>
      <c r="R32" s="107"/>
      <c r="S32" s="108"/>
      <c r="T32" s="147">
        <f>#N/A</f>
        <v>150565.40000000002</v>
      </c>
    </row>
    <row r="33" spans="1:20" s="6" customFormat="1" ht="15" hidden="1">
      <c r="A33" s="8"/>
      <c r="B33" s="50" t="s">
        <v>90</v>
      </c>
      <c r="C33" s="102">
        <v>18050200</v>
      </c>
      <c r="D33" s="103">
        <v>0</v>
      </c>
      <c r="E33" s="103">
        <v>0</v>
      </c>
      <c r="F33" s="140">
        <v>0</v>
      </c>
      <c r="G33" s="103">
        <f>#N/A</f>
        <v>0</v>
      </c>
      <c r="H33" s="105"/>
      <c r="I33" s="104">
        <f>#N/A</f>
        <v>0</v>
      </c>
      <c r="J33" s="104"/>
      <c r="K33" s="127">
        <v>0.07</v>
      </c>
      <c r="L33" s="127">
        <f>#N/A</f>
        <v>-0.07</v>
      </c>
      <c r="M33" s="216">
        <f>#N/A</f>
        <v>0</v>
      </c>
      <c r="N33" s="105">
        <f>E33-'січень 17'!E33</f>
        <v>0</v>
      </c>
      <c r="O33" s="144">
        <f>F33-'січень 17'!F33</f>
        <v>0</v>
      </c>
      <c r="P33" s="106">
        <f>#N/A</f>
        <v>0</v>
      </c>
      <c r="Q33" s="104"/>
      <c r="R33" s="107"/>
      <c r="S33" s="108"/>
      <c r="T33" s="147">
        <f>#N/A</f>
        <v>0</v>
      </c>
    </row>
    <row r="34" spans="1:20" s="6" customFormat="1" ht="15" hidden="1">
      <c r="A34" s="8"/>
      <c r="B34" s="50" t="s">
        <v>91</v>
      </c>
      <c r="C34" s="102">
        <v>18050300</v>
      </c>
      <c r="D34" s="103">
        <v>41000</v>
      </c>
      <c r="E34" s="103">
        <v>9110</v>
      </c>
      <c r="F34" s="140">
        <v>9755.95</v>
      </c>
      <c r="G34" s="103">
        <f>#N/A</f>
        <v>645.9500000000007</v>
      </c>
      <c r="H34" s="105">
        <f>#N/A</f>
        <v>107.09055982436884</v>
      </c>
      <c r="I34" s="104">
        <f>#N/A</f>
        <v>-31244.05</v>
      </c>
      <c r="J34" s="104">
        <f>#N/A</f>
        <v>23.795</v>
      </c>
      <c r="K34" s="127">
        <v>8679.27</v>
      </c>
      <c r="L34" s="127">
        <f>#N/A</f>
        <v>1076.6800000000003</v>
      </c>
      <c r="M34" s="216">
        <f>#N/A</f>
        <v>1.1240519075913067</v>
      </c>
      <c r="N34" s="105">
        <f>E34-'січень 17'!E34</f>
        <v>5610</v>
      </c>
      <c r="O34" s="144">
        <f>F34-'січень 17'!F34</f>
        <v>6170.92</v>
      </c>
      <c r="P34" s="106">
        <f>#N/A</f>
        <v>560.9200000000001</v>
      </c>
      <c r="Q34" s="104">
        <f>O34/N34*100</f>
        <v>109.99857397504455</v>
      </c>
      <c r="R34" s="107"/>
      <c r="S34" s="108"/>
      <c r="T34" s="147">
        <f>#N/A</f>
        <v>31890</v>
      </c>
    </row>
    <row r="35" spans="1:20" s="6" customFormat="1" ht="15" hidden="1">
      <c r="A35" s="8"/>
      <c r="B35" s="50" t="s">
        <v>92</v>
      </c>
      <c r="C35" s="102">
        <v>18050400</v>
      </c>
      <c r="D35" s="103">
        <v>153339.1</v>
      </c>
      <c r="E35" s="103">
        <v>34700</v>
      </c>
      <c r="F35" s="140">
        <v>37856.5</v>
      </c>
      <c r="G35" s="103">
        <f>#N/A</f>
        <v>3156.5</v>
      </c>
      <c r="H35" s="105">
        <f>#N/A</f>
        <v>109.0965417867435</v>
      </c>
      <c r="I35" s="104">
        <f>#N/A</f>
        <v>-115482.6</v>
      </c>
      <c r="J35" s="104">
        <f>#N/A</f>
        <v>24.688093252145084</v>
      </c>
      <c r="K35" s="127">
        <v>24907.67</v>
      </c>
      <c r="L35" s="127">
        <f>#N/A</f>
        <v>12948.830000000002</v>
      </c>
      <c r="M35" s="216">
        <f>#N/A</f>
        <v>1.5198731956863087</v>
      </c>
      <c r="N35" s="105">
        <f>E35-'січень 17'!E35</f>
        <v>18000</v>
      </c>
      <c r="O35" s="144">
        <f>F35-'січень 17'!F35</f>
        <v>20807.96</v>
      </c>
      <c r="P35" s="106">
        <f>#N/A</f>
        <v>2807.959999999999</v>
      </c>
      <c r="Q35" s="104">
        <f>O35/N35*100</f>
        <v>115.59977777777777</v>
      </c>
      <c r="R35" s="107"/>
      <c r="S35" s="108"/>
      <c r="T35" s="147">
        <f>#N/A</f>
        <v>118639.1</v>
      </c>
    </row>
    <row r="36" spans="1:20" s="6" customFormat="1" ht="15" hidden="1">
      <c r="A36" s="8"/>
      <c r="B36" s="50" t="s">
        <v>93</v>
      </c>
      <c r="C36" s="102">
        <v>18050500</v>
      </c>
      <c r="D36" s="103">
        <v>55</v>
      </c>
      <c r="E36" s="103">
        <v>18.7</v>
      </c>
      <c r="F36" s="140">
        <v>16.11</v>
      </c>
      <c r="G36" s="103">
        <f>#N/A</f>
        <v>-2.59</v>
      </c>
      <c r="H36" s="105">
        <f>#N/A</f>
        <v>86.14973262032085</v>
      </c>
      <c r="I36" s="104">
        <f>#N/A</f>
        <v>-38.89</v>
      </c>
      <c r="J36" s="104">
        <f>#N/A</f>
        <v>29.29090909090909</v>
      </c>
      <c r="K36" s="127">
        <v>7.49</v>
      </c>
      <c r="L36" s="127">
        <f>#N/A</f>
        <v>8.62</v>
      </c>
      <c r="M36" s="216">
        <f>#N/A</f>
        <v>2.15086782376502</v>
      </c>
      <c r="N36" s="105">
        <f>E36-'січень 17'!E36</f>
        <v>0</v>
      </c>
      <c r="O36" s="144">
        <f>F36-'січень 17'!F36</f>
        <v>0</v>
      </c>
      <c r="P36" s="106">
        <f>#N/A</f>
        <v>0</v>
      </c>
      <c r="Q36" s="104"/>
      <c r="R36" s="107"/>
      <c r="S36" s="108"/>
      <c r="T36" s="147">
        <f>#N/A</f>
        <v>36.3</v>
      </c>
    </row>
    <row r="37" spans="1:20" s="6" customFormat="1" ht="15" customHeight="1" hidden="1">
      <c r="A37" s="8"/>
      <c r="B37" s="232" t="s">
        <v>46</v>
      </c>
      <c r="C37" s="43">
        <v>19010000</v>
      </c>
      <c r="D37" s="34">
        <v>0</v>
      </c>
      <c r="E37" s="34">
        <v>0</v>
      </c>
      <c r="F37" s="34">
        <v>0</v>
      </c>
      <c r="G37" s="34">
        <f>#N/A</f>
        <v>0</v>
      </c>
      <c r="H37" s="30"/>
      <c r="I37" s="37">
        <f>#N/A</f>
        <v>0</v>
      </c>
      <c r="J37" s="37"/>
      <c r="K37" s="119">
        <v>0</v>
      </c>
      <c r="L37" s="119">
        <f>#N/A</f>
        <v>0</v>
      </c>
      <c r="M37" s="217" t="e">
        <f>#N/A</f>
        <v>#DIV/0!</v>
      </c>
      <c r="N37" s="157">
        <f>E37-'січень 17'!E37</f>
        <v>0</v>
      </c>
      <c r="O37" s="160">
        <f>F37-'січень 17'!F37</f>
        <v>0</v>
      </c>
      <c r="P37" s="36">
        <f>#N/A</f>
        <v>0</v>
      </c>
      <c r="Q37" s="37"/>
      <c r="R37" s="107"/>
      <c r="S37" s="108"/>
      <c r="T37" s="147">
        <f>#N/A</f>
        <v>0</v>
      </c>
    </row>
    <row r="38" spans="1:20" s="6" customFormat="1" ht="17.25">
      <c r="A38" s="7"/>
      <c r="B38" s="16" t="s">
        <v>12</v>
      </c>
      <c r="C38" s="70">
        <v>20000000</v>
      </c>
      <c r="D38" s="151">
        <f>D39+D40+D41+D42+D43+D45+D47+D48+D49+D50+D51+D56+D57+D61+D44</f>
        <v>59025</v>
      </c>
      <c r="E38" s="151">
        <f>E39+E40+E41+E42+E43+E45+E47+E48+E49+E50+E51+E56+E57+E61+E44</f>
        <v>7774.1</v>
      </c>
      <c r="F38" s="151">
        <f>F39+F40+F41+F42+F43+F45+F47+F48+F49+F50+F51+F56+F57+F61+F44</f>
        <v>8691.629999999997</v>
      </c>
      <c r="G38" s="151">
        <f>G39+G40+G41+G42+G43+G45+G47+G48+G49+G50+G51+G56+G57+G61</f>
        <v>931.1299999999997</v>
      </c>
      <c r="H38" s="152">
        <f>F38/E38*100</f>
        <v>111.8023951325555</v>
      </c>
      <c r="I38" s="153">
        <f>F38-D38</f>
        <v>-50333.37</v>
      </c>
      <c r="J38" s="153">
        <f>F38/D38*100</f>
        <v>14.725336721728077</v>
      </c>
      <c r="K38" s="151">
        <v>4916.44</v>
      </c>
      <c r="L38" s="151">
        <f>#N/A</f>
        <v>3775.189999999998</v>
      </c>
      <c r="M38" s="205">
        <f>#N/A</f>
        <v>1.7678706543759302</v>
      </c>
      <c r="N38" s="151">
        <f>N39+N40+N41+N42+N43+N45+N47+N48+N49+N50+N51+N56+N57+N61+N44</f>
        <v>4786.3</v>
      </c>
      <c r="O38" s="151">
        <f>O39+O40+O41+O42+O43+O45+O47+O48+O49+O50+O51+O56+O57+O61+O44</f>
        <v>4463.9</v>
      </c>
      <c r="P38" s="151">
        <f>P39+P40+P41+P42+P43+P45+P47+P48+P49+P50+P51+P56+P57+P61</f>
        <v>-315.6000000000002</v>
      </c>
      <c r="Q38" s="151">
        <f>O38/N38*100</f>
        <v>93.26410797484486</v>
      </c>
      <c r="R38" s="15" t="e">
        <f>#N/A</f>
        <v>#N/A</v>
      </c>
      <c r="S38" s="15" t="e">
        <f>#N/A</f>
        <v>#N/A</v>
      </c>
      <c r="T38" s="147">
        <f>#N/A</f>
        <v>51250.9</v>
      </c>
    </row>
    <row r="39" spans="1:20" s="6" customFormat="1" ht="46.5">
      <c r="A39" s="8"/>
      <c r="B39" s="44" t="s">
        <v>98</v>
      </c>
      <c r="C39" s="43">
        <v>21010301</v>
      </c>
      <c r="D39" s="150">
        <v>580</v>
      </c>
      <c r="E39" s="150">
        <v>80</v>
      </c>
      <c r="F39" s="156">
        <v>9.18</v>
      </c>
      <c r="G39" s="162">
        <f>F39-E39</f>
        <v>-70.82</v>
      </c>
      <c r="H39" s="164"/>
      <c r="I39" s="165">
        <f>F39-D39</f>
        <v>-570.82</v>
      </c>
      <c r="J39" s="165">
        <f>F39/D39*100</f>
        <v>1.582758620689655</v>
      </c>
      <c r="K39" s="165">
        <v>78.05</v>
      </c>
      <c r="L39" s="165">
        <f>#N/A</f>
        <v>-68.87</v>
      </c>
      <c r="M39" s="218">
        <f>#N/A</f>
        <v>0.11761691223574632</v>
      </c>
      <c r="N39" s="164">
        <f>E39-'січень 17'!E39</f>
        <v>80</v>
      </c>
      <c r="O39" s="168">
        <f>F39-'січень 17'!F39</f>
        <v>1</v>
      </c>
      <c r="P39" s="167">
        <f>O39-N39</f>
        <v>-79</v>
      </c>
      <c r="Q39" s="165">
        <f>#N/A</f>
        <v>1.25</v>
      </c>
      <c r="R39" s="37"/>
      <c r="S39" s="94"/>
      <c r="T39" s="147">
        <f>#N/A</f>
        <v>500</v>
      </c>
    </row>
    <row r="40" spans="1:20" s="6" customFormat="1" ht="30.75">
      <c r="A40" s="8"/>
      <c r="B40" s="129" t="s">
        <v>77</v>
      </c>
      <c r="C40" s="42">
        <v>21050000</v>
      </c>
      <c r="D40" s="150">
        <v>30000</v>
      </c>
      <c r="E40" s="150">
        <v>2500</v>
      </c>
      <c r="F40" s="156">
        <v>2116.32</v>
      </c>
      <c r="G40" s="162">
        <f>#N/A</f>
        <v>-383.67999999999984</v>
      </c>
      <c r="H40" s="164"/>
      <c r="I40" s="165">
        <f>#N/A</f>
        <v>-27883.68</v>
      </c>
      <c r="J40" s="165">
        <f>F40/D40*100</f>
        <v>7.054400000000001</v>
      </c>
      <c r="K40" s="165">
        <v>432.1</v>
      </c>
      <c r="L40" s="165">
        <f>#N/A</f>
        <v>1684.2200000000003</v>
      </c>
      <c r="M40" s="218"/>
      <c r="N40" s="164">
        <f>E40-'січень 17'!E40</f>
        <v>2500</v>
      </c>
      <c r="O40" s="168">
        <f>F40-'січень 17'!F40</f>
        <v>2116.32</v>
      </c>
      <c r="P40" s="167">
        <f>#N/A</f>
        <v>-383.67999999999984</v>
      </c>
      <c r="Q40" s="165">
        <f>#N/A</f>
        <v>84.6528</v>
      </c>
      <c r="R40" s="37"/>
      <c r="S40" s="94"/>
      <c r="T40" s="147">
        <f>#N/A</f>
        <v>27500</v>
      </c>
    </row>
    <row r="41" spans="1:20" s="6" customFormat="1" ht="18">
      <c r="A41" s="8"/>
      <c r="B41" s="129" t="s">
        <v>61</v>
      </c>
      <c r="C41" s="42">
        <v>21080500</v>
      </c>
      <c r="D41" s="150">
        <v>40</v>
      </c>
      <c r="E41" s="150">
        <v>16</v>
      </c>
      <c r="F41" s="156">
        <v>57.08</v>
      </c>
      <c r="G41" s="162">
        <f>#N/A</f>
        <v>41.08</v>
      </c>
      <c r="H41" s="164">
        <f>#N/A</f>
        <v>356.75</v>
      </c>
      <c r="I41" s="165">
        <f>#N/A</f>
        <v>17.08</v>
      </c>
      <c r="J41" s="165">
        <f>#N/A</f>
        <v>142.70000000000002</v>
      </c>
      <c r="K41" s="165">
        <v>24.38</v>
      </c>
      <c r="L41" s="165">
        <f>#N/A</f>
        <v>32.7</v>
      </c>
      <c r="M41" s="218">
        <f>#N/A</f>
        <v>2.3412633305988515</v>
      </c>
      <c r="N41" s="164">
        <f>E41-'січень 17'!E41</f>
        <v>6</v>
      </c>
      <c r="O41" s="168">
        <f>F41-'січень 17'!F41</f>
        <v>42.21</v>
      </c>
      <c r="P41" s="167">
        <f>#N/A</f>
        <v>36.21</v>
      </c>
      <c r="Q41" s="165"/>
      <c r="R41" s="37"/>
      <c r="S41" s="94"/>
      <c r="T41" s="147">
        <f>#N/A</f>
        <v>24</v>
      </c>
    </row>
    <row r="42" spans="1:20" s="6" customFormat="1" ht="31.5">
      <c r="A42" s="8"/>
      <c r="B42" s="238" t="s">
        <v>39</v>
      </c>
      <c r="C42" s="71">
        <v>21080900</v>
      </c>
      <c r="D42" s="150">
        <f>6.5-6.5</f>
        <v>0</v>
      </c>
      <c r="E42" s="150">
        <v>0</v>
      </c>
      <c r="F42" s="156">
        <v>2.03</v>
      </c>
      <c r="G42" s="162">
        <f>#N/A</f>
        <v>2.03</v>
      </c>
      <c r="H42" s="164"/>
      <c r="I42" s="165">
        <f>#N/A</f>
        <v>2.03</v>
      </c>
      <c r="J42" s="165"/>
      <c r="K42" s="165">
        <v>1.02</v>
      </c>
      <c r="L42" s="165">
        <f>#N/A</f>
        <v>1.0099999999999998</v>
      </c>
      <c r="M42" s="218">
        <f>#N/A</f>
        <v>1.9901960784313724</v>
      </c>
      <c r="N42" s="164">
        <f>E42-'січень 17'!E42</f>
        <v>0</v>
      </c>
      <c r="O42" s="168">
        <f>F42-'січень 17'!F42</f>
        <v>2.03</v>
      </c>
      <c r="P42" s="167">
        <f>#N/A</f>
        <v>2.03</v>
      </c>
      <c r="Q42" s="165"/>
      <c r="R42" s="37"/>
      <c r="S42" s="94"/>
      <c r="T42" s="147">
        <f>#N/A</f>
        <v>0</v>
      </c>
    </row>
    <row r="43" spans="1:20" s="6" customFormat="1" ht="18">
      <c r="A43" s="8"/>
      <c r="B43" s="130" t="s">
        <v>16</v>
      </c>
      <c r="C43" s="72">
        <v>21081100</v>
      </c>
      <c r="D43" s="150">
        <v>260</v>
      </c>
      <c r="E43" s="150">
        <v>40</v>
      </c>
      <c r="F43" s="156">
        <v>82.08</v>
      </c>
      <c r="G43" s="162">
        <f>#N/A</f>
        <v>42.08</v>
      </c>
      <c r="H43" s="164">
        <f>#N/A</f>
        <v>205.20000000000002</v>
      </c>
      <c r="I43" s="165">
        <f>#N/A</f>
        <v>-177.92000000000002</v>
      </c>
      <c r="J43" s="165">
        <f>#N/A</f>
        <v>31.569230769230767</v>
      </c>
      <c r="K43" s="165">
        <v>3.65</v>
      </c>
      <c r="L43" s="165">
        <f>#N/A</f>
        <v>78.42999999999999</v>
      </c>
      <c r="M43" s="218">
        <f>#N/A</f>
        <v>22.487671232876714</v>
      </c>
      <c r="N43" s="164">
        <f>E43-'січень 17'!E43</f>
        <v>20</v>
      </c>
      <c r="O43" s="168">
        <f>F43-'січень 17'!F43</f>
        <v>70.91</v>
      </c>
      <c r="P43" s="167">
        <f>#N/A</f>
        <v>50.91</v>
      </c>
      <c r="Q43" s="165">
        <f>#N/A</f>
        <v>354.54999999999995</v>
      </c>
      <c r="R43" s="37"/>
      <c r="S43" s="94"/>
      <c r="T43" s="147">
        <f>#N/A</f>
        <v>220</v>
      </c>
    </row>
    <row r="44" spans="1:20" s="6" customFormat="1" ht="46.5">
      <c r="A44" s="8"/>
      <c r="B44" s="130" t="s">
        <v>80</v>
      </c>
      <c r="C44" s="72">
        <v>21081500</v>
      </c>
      <c r="D44" s="150">
        <v>97.5</v>
      </c>
      <c r="E44" s="150">
        <v>13.6</v>
      </c>
      <c r="F44" s="156">
        <v>0</v>
      </c>
      <c r="G44" s="162">
        <f>#N/A</f>
        <v>-13.6</v>
      </c>
      <c r="H44" s="164"/>
      <c r="I44" s="165">
        <f>#N/A</f>
        <v>-97.5</v>
      </c>
      <c r="J44" s="165"/>
      <c r="K44" s="165">
        <v>0</v>
      </c>
      <c r="L44" s="165">
        <f>#N/A</f>
        <v>0</v>
      </c>
      <c r="M44" s="218"/>
      <c r="N44" s="164">
        <f>E44-'січень 17'!E44</f>
        <v>6.8</v>
      </c>
      <c r="O44" s="168">
        <f>F44-'січень 17'!F44</f>
        <v>0</v>
      </c>
      <c r="P44" s="167"/>
      <c r="Q44" s="165"/>
      <c r="R44" s="37"/>
      <c r="S44" s="94"/>
      <c r="T44" s="147">
        <f>#N/A</f>
        <v>83.9</v>
      </c>
    </row>
    <row r="45" spans="1:20" s="6" customFormat="1" ht="30.75">
      <c r="A45" s="8"/>
      <c r="B45" s="148" t="s">
        <v>105</v>
      </c>
      <c r="C45" s="49">
        <v>22010300</v>
      </c>
      <c r="D45" s="150">
        <v>730</v>
      </c>
      <c r="E45" s="150">
        <v>120</v>
      </c>
      <c r="F45" s="156">
        <v>192.39</v>
      </c>
      <c r="G45" s="162">
        <f>#N/A</f>
        <v>72.38999999999999</v>
      </c>
      <c r="H45" s="164">
        <f>#N/A</f>
        <v>160.325</v>
      </c>
      <c r="I45" s="165">
        <f>#N/A</f>
        <v>-537.61</v>
      </c>
      <c r="J45" s="165">
        <f>#N/A</f>
        <v>26.35479452054794</v>
      </c>
      <c r="K45" s="165">
        <v>0</v>
      </c>
      <c r="L45" s="165">
        <f>#N/A</f>
        <v>192.39</v>
      </c>
      <c r="M45" s="218"/>
      <c r="N45" s="164">
        <f>E45-'січень 17'!E45</f>
        <v>60</v>
      </c>
      <c r="O45" s="168">
        <f>F45-'січень 17'!F45</f>
        <v>102.93999999999998</v>
      </c>
      <c r="P45" s="167">
        <f>#N/A</f>
        <v>42.93999999999998</v>
      </c>
      <c r="Q45" s="165">
        <f>#N/A</f>
        <v>171.56666666666663</v>
      </c>
      <c r="R45" s="37"/>
      <c r="S45" s="94"/>
      <c r="T45" s="147">
        <f>#N/A</f>
        <v>610</v>
      </c>
    </row>
    <row r="46" spans="1:20" s="6" customFormat="1" ht="18" hidden="1">
      <c r="A46" s="8"/>
      <c r="B46" s="130"/>
      <c r="C46" s="49"/>
      <c r="D46" s="150"/>
      <c r="E46" s="150"/>
      <c r="F46" s="156"/>
      <c r="G46" s="162"/>
      <c r="H46" s="164"/>
      <c r="I46" s="165"/>
      <c r="J46" s="165"/>
      <c r="K46" s="165"/>
      <c r="L46" s="165">
        <f>#N/A</f>
        <v>0</v>
      </c>
      <c r="M46" s="218" t="e">
        <f>#N/A</f>
        <v>#DIV/0!</v>
      </c>
      <c r="N46" s="164">
        <f>E46-'січень 17'!E46</f>
        <v>0</v>
      </c>
      <c r="O46" s="168">
        <f>F46-'січень 17'!F46</f>
        <v>0</v>
      </c>
      <c r="P46" s="167"/>
      <c r="Q46" s="165"/>
      <c r="R46" s="37"/>
      <c r="S46" s="94"/>
      <c r="T46" s="147">
        <f>#N/A</f>
        <v>0</v>
      </c>
    </row>
    <row r="47" spans="1:20" s="6" customFormat="1" ht="18">
      <c r="A47" s="8"/>
      <c r="B47" s="33" t="s">
        <v>78</v>
      </c>
      <c r="C47" s="72">
        <v>22012500</v>
      </c>
      <c r="D47" s="150">
        <v>11000</v>
      </c>
      <c r="E47" s="150">
        <v>1400</v>
      </c>
      <c r="F47" s="156">
        <v>2143.72</v>
      </c>
      <c r="G47" s="162">
        <f>#N/A</f>
        <v>743.7199999999998</v>
      </c>
      <c r="H47" s="164">
        <f>#N/A</f>
        <v>153.12285714285713</v>
      </c>
      <c r="I47" s="165">
        <f>#N/A</f>
        <v>-8856.28</v>
      </c>
      <c r="J47" s="165">
        <f>#N/A</f>
        <v>19.488363636363633</v>
      </c>
      <c r="K47" s="165">
        <v>1351.17</v>
      </c>
      <c r="L47" s="165">
        <f>#N/A</f>
        <v>792.5499999999997</v>
      </c>
      <c r="M47" s="218">
        <f>#N/A</f>
        <v>1.586565717119237</v>
      </c>
      <c r="N47" s="164">
        <f>E47-'січень 17'!E47</f>
        <v>800</v>
      </c>
      <c r="O47" s="168">
        <f>F47-'січень 17'!F47</f>
        <v>1091.1599999999999</v>
      </c>
      <c r="P47" s="167">
        <f>#N/A</f>
        <v>291.15999999999985</v>
      </c>
      <c r="Q47" s="165">
        <f>#N/A</f>
        <v>136.39499999999998</v>
      </c>
      <c r="R47" s="37"/>
      <c r="S47" s="94"/>
      <c r="T47" s="147">
        <f>#N/A</f>
        <v>9600</v>
      </c>
    </row>
    <row r="48" spans="1:20" s="6" customFormat="1" ht="31.5">
      <c r="A48" s="8"/>
      <c r="B48" s="149" t="s">
        <v>99</v>
      </c>
      <c r="C48" s="72">
        <v>22012600</v>
      </c>
      <c r="D48" s="150">
        <v>310</v>
      </c>
      <c r="E48" s="150">
        <v>50</v>
      </c>
      <c r="F48" s="156">
        <v>90.44</v>
      </c>
      <c r="G48" s="162">
        <f>#N/A</f>
        <v>40.44</v>
      </c>
      <c r="H48" s="164">
        <f>#N/A</f>
        <v>180.88</v>
      </c>
      <c r="I48" s="165">
        <f>#N/A</f>
        <v>-219.56</v>
      </c>
      <c r="J48" s="165">
        <f>#N/A</f>
        <v>29.174193548387095</v>
      </c>
      <c r="K48" s="165">
        <v>1.03</v>
      </c>
      <c r="L48" s="165">
        <f>#N/A</f>
        <v>89.41</v>
      </c>
      <c r="M48" s="218"/>
      <c r="N48" s="164">
        <f>E48-'січень 17'!E48</f>
        <v>25</v>
      </c>
      <c r="O48" s="168">
        <f>F48-'січень 17'!F48</f>
        <v>45.91</v>
      </c>
      <c r="P48" s="167">
        <f>#N/A</f>
        <v>20.909999999999997</v>
      </c>
      <c r="Q48" s="165"/>
      <c r="R48" s="37"/>
      <c r="S48" s="94"/>
      <c r="T48" s="147">
        <f>#N/A</f>
        <v>260</v>
      </c>
    </row>
    <row r="49" spans="1:20" s="6" customFormat="1" ht="31.5">
      <c r="A49" s="8"/>
      <c r="B49" s="149" t="s">
        <v>106</v>
      </c>
      <c r="C49" s="72">
        <v>22012900</v>
      </c>
      <c r="D49" s="150">
        <v>20</v>
      </c>
      <c r="E49" s="150">
        <v>2</v>
      </c>
      <c r="F49" s="156">
        <v>0</v>
      </c>
      <c r="G49" s="162">
        <f>#N/A</f>
        <v>-2</v>
      </c>
      <c r="H49" s="164">
        <f>#N/A</f>
        <v>0</v>
      </c>
      <c r="I49" s="165">
        <f>#N/A</f>
        <v>-20</v>
      </c>
      <c r="J49" s="165">
        <f>#N/A</f>
        <v>0</v>
      </c>
      <c r="K49" s="165">
        <v>0</v>
      </c>
      <c r="L49" s="165">
        <f>#N/A</f>
        <v>0</v>
      </c>
      <c r="M49" s="218"/>
      <c r="N49" s="164">
        <f>E49-'січень 17'!E49</f>
        <v>1</v>
      </c>
      <c r="O49" s="168">
        <f>F49-'січень 17'!F49</f>
        <v>0</v>
      </c>
      <c r="P49" s="167">
        <f>#N/A</f>
        <v>-1</v>
      </c>
      <c r="Q49" s="165">
        <f>#N/A</f>
        <v>0</v>
      </c>
      <c r="R49" s="37"/>
      <c r="S49" s="94"/>
      <c r="T49" s="147">
        <f>#N/A</f>
        <v>18</v>
      </c>
    </row>
    <row r="50" spans="1:20" s="6" customFormat="1" ht="30.75">
      <c r="A50" s="8"/>
      <c r="B50" s="130" t="s">
        <v>14</v>
      </c>
      <c r="C50" s="49">
        <v>22080400</v>
      </c>
      <c r="D50" s="150">
        <v>7275</v>
      </c>
      <c r="E50" s="150">
        <v>1200</v>
      </c>
      <c r="F50" s="156">
        <v>1163.35</v>
      </c>
      <c r="G50" s="162">
        <f>#N/A</f>
        <v>-36.65000000000009</v>
      </c>
      <c r="H50" s="164">
        <f>#N/A</f>
        <v>96.94583333333333</v>
      </c>
      <c r="I50" s="165">
        <f>#N/A</f>
        <v>-6111.65</v>
      </c>
      <c r="J50" s="165">
        <f>#N/A</f>
        <v>15.991065292096218</v>
      </c>
      <c r="K50" s="165">
        <v>1303.34</v>
      </c>
      <c r="L50" s="165">
        <f>#N/A</f>
        <v>-139.99</v>
      </c>
      <c r="M50" s="218">
        <f>#N/A</f>
        <v>0.8925913422437737</v>
      </c>
      <c r="N50" s="164">
        <f>E50-'січень 17'!E50</f>
        <v>600</v>
      </c>
      <c r="O50" s="168">
        <f>F50-'січень 17'!F50</f>
        <v>478.3599999999999</v>
      </c>
      <c r="P50" s="167">
        <f>#N/A</f>
        <v>-121.6400000000001</v>
      </c>
      <c r="Q50" s="165">
        <f>#N/A</f>
        <v>79.72666666666665</v>
      </c>
      <c r="R50" s="37"/>
      <c r="S50" s="94"/>
      <c r="T50" s="147">
        <f>#N/A</f>
        <v>6075</v>
      </c>
    </row>
    <row r="51" spans="1:20" s="6" customFormat="1" ht="18">
      <c r="A51" s="8"/>
      <c r="B51" s="130" t="s">
        <v>15</v>
      </c>
      <c r="C51" s="43">
        <v>22090000</v>
      </c>
      <c r="D51" s="150">
        <v>1200</v>
      </c>
      <c r="E51" s="150">
        <v>140</v>
      </c>
      <c r="F51" s="156">
        <v>89.05</v>
      </c>
      <c r="G51" s="162">
        <f>#N/A</f>
        <v>-50.95</v>
      </c>
      <c r="H51" s="164">
        <f>#N/A</f>
        <v>63.607142857142854</v>
      </c>
      <c r="I51" s="165">
        <f>#N/A</f>
        <v>-1110.95</v>
      </c>
      <c r="J51" s="165">
        <f>#N/A</f>
        <v>7.420833333333333</v>
      </c>
      <c r="K51" s="165">
        <v>965.16</v>
      </c>
      <c r="L51" s="165">
        <f>#N/A</f>
        <v>-876.11</v>
      </c>
      <c r="M51" s="218">
        <f>#N/A</f>
        <v>0.09226449500600936</v>
      </c>
      <c r="N51" s="164">
        <f>E51-'січень 17'!E51</f>
        <v>85</v>
      </c>
      <c r="O51" s="168">
        <f>F51-'січень 17'!F51</f>
        <v>48.959999999999994</v>
      </c>
      <c r="P51" s="167">
        <f>#N/A</f>
        <v>-36.040000000000006</v>
      </c>
      <c r="Q51" s="165">
        <f>#N/A</f>
        <v>57.599999999999994</v>
      </c>
      <c r="R51" s="37"/>
      <c r="S51" s="94"/>
      <c r="T51" s="147">
        <f>#N/A</f>
        <v>1060</v>
      </c>
    </row>
    <row r="52" spans="1:20" s="6" customFormat="1" ht="18" hidden="1">
      <c r="A52" s="8"/>
      <c r="B52" s="50" t="s">
        <v>97</v>
      </c>
      <c r="C52" s="123">
        <v>22090100</v>
      </c>
      <c r="D52" s="103">
        <v>998</v>
      </c>
      <c r="E52" s="103">
        <v>110</v>
      </c>
      <c r="F52" s="140">
        <v>73.71</v>
      </c>
      <c r="G52" s="34">
        <f>#N/A</f>
        <v>-36.290000000000006</v>
      </c>
      <c r="H52" s="30">
        <f>#N/A</f>
        <v>67.0090909090909</v>
      </c>
      <c r="I52" s="104">
        <f>#N/A</f>
        <v>-924.29</v>
      </c>
      <c r="J52" s="104">
        <f>#N/A</f>
        <v>7.385771543086171</v>
      </c>
      <c r="K52" s="104">
        <v>86.43</v>
      </c>
      <c r="L52" s="104">
        <f>F52-K52</f>
        <v>-12.720000000000013</v>
      </c>
      <c r="M52" s="109">
        <f>#N/A</f>
        <v>0.8528288788615063</v>
      </c>
      <c r="N52" s="164">
        <f>E52-'січень 17'!E52</f>
        <v>70</v>
      </c>
      <c r="O52" s="168">
        <f>F52-'січень 17'!F52</f>
        <v>40.89999999999999</v>
      </c>
      <c r="P52" s="106">
        <f>#N/A</f>
        <v>-29.10000000000001</v>
      </c>
      <c r="Q52" s="119">
        <f>#N/A</f>
        <v>58.428571428571416</v>
      </c>
      <c r="R52" s="37"/>
      <c r="S52" s="94"/>
      <c r="T52" s="147">
        <f>#N/A</f>
        <v>888</v>
      </c>
    </row>
    <row r="53" spans="1:20" s="6" customFormat="1" ht="18" hidden="1">
      <c r="A53" s="8"/>
      <c r="B53" s="50" t="s">
        <v>94</v>
      </c>
      <c r="C53" s="123">
        <v>22090200</v>
      </c>
      <c r="D53" s="103">
        <v>1</v>
      </c>
      <c r="E53" s="103">
        <v>0</v>
      </c>
      <c r="F53" s="140">
        <v>0.1</v>
      </c>
      <c r="G53" s="34">
        <f>#N/A</f>
        <v>0.1</v>
      </c>
      <c r="H53" s="30" t="e">
        <f>#N/A</f>
        <v>#DIV/0!</v>
      </c>
      <c r="I53" s="104">
        <f>#N/A</f>
        <v>-0.9</v>
      </c>
      <c r="J53" s="104">
        <f>#N/A</f>
        <v>10</v>
      </c>
      <c r="K53" s="104">
        <v>0.08</v>
      </c>
      <c r="L53" s="104">
        <f>F53-K53</f>
        <v>0.020000000000000004</v>
      </c>
      <c r="M53" s="109">
        <f>#N/A</f>
        <v>1.25</v>
      </c>
      <c r="N53" s="164">
        <f>E53-'січень 17'!E53</f>
        <v>0</v>
      </c>
      <c r="O53" s="168">
        <f>F53-'січень 17'!F53</f>
        <v>0.09000000000000001</v>
      </c>
      <c r="P53" s="106">
        <f>#N/A</f>
        <v>0.09000000000000001</v>
      </c>
      <c r="Q53" s="119" t="e">
        <f>#N/A</f>
        <v>#DIV/0!</v>
      </c>
      <c r="R53" s="37"/>
      <c r="S53" s="94"/>
      <c r="T53" s="147">
        <f>#N/A</f>
        <v>1</v>
      </c>
    </row>
    <row r="54" spans="1:20" s="6" customFormat="1" ht="18" hidden="1">
      <c r="A54" s="8"/>
      <c r="B54" s="50" t="s">
        <v>95</v>
      </c>
      <c r="C54" s="123">
        <v>22090300</v>
      </c>
      <c r="D54" s="103">
        <v>1</v>
      </c>
      <c r="E54" s="103">
        <v>0</v>
      </c>
      <c r="F54" s="140">
        <v>0</v>
      </c>
      <c r="G54" s="34">
        <f>#N/A</f>
        <v>0</v>
      </c>
      <c r="H54" s="30"/>
      <c r="I54" s="104">
        <f>#N/A</f>
        <v>-1</v>
      </c>
      <c r="J54" s="104">
        <f>#N/A</f>
        <v>0</v>
      </c>
      <c r="K54" s="104">
        <v>0</v>
      </c>
      <c r="L54" s="104">
        <f>F54-K54</f>
        <v>0</v>
      </c>
      <c r="M54" s="109" t="e">
        <f>#N/A</f>
        <v>#DIV/0!</v>
      </c>
      <c r="N54" s="164">
        <f>E54-'січень 17'!E54</f>
        <v>0</v>
      </c>
      <c r="O54" s="168">
        <f>F54-'січень 17'!F54</f>
        <v>0</v>
      </c>
      <c r="P54" s="106">
        <f>#N/A</f>
        <v>0</v>
      </c>
      <c r="Q54" s="119"/>
      <c r="R54" s="37"/>
      <c r="S54" s="94"/>
      <c r="T54" s="147">
        <f>#N/A</f>
        <v>1</v>
      </c>
    </row>
    <row r="55" spans="1:20" s="6" customFormat="1" ht="18" hidden="1">
      <c r="A55" s="8"/>
      <c r="B55" s="50" t="s">
        <v>96</v>
      </c>
      <c r="C55" s="123">
        <v>22090400</v>
      </c>
      <c r="D55" s="103">
        <v>200</v>
      </c>
      <c r="E55" s="103">
        <v>30</v>
      </c>
      <c r="F55" s="140">
        <v>15.24</v>
      </c>
      <c r="G55" s="34">
        <f>#N/A</f>
        <v>-14.76</v>
      </c>
      <c r="H55" s="30">
        <f>#N/A</f>
        <v>50.8</v>
      </c>
      <c r="I55" s="104">
        <f>#N/A</f>
        <v>-184.76</v>
      </c>
      <c r="J55" s="104">
        <f>#N/A</f>
        <v>7.62</v>
      </c>
      <c r="K55" s="104">
        <v>878.65</v>
      </c>
      <c r="L55" s="104">
        <f>F55-K55</f>
        <v>-863.41</v>
      </c>
      <c r="M55" s="109">
        <f>#N/A</f>
        <v>0.01734479030330621</v>
      </c>
      <c r="N55" s="164">
        <f>E55-'січень 17'!E55</f>
        <v>15</v>
      </c>
      <c r="O55" s="168">
        <f>F55-'січень 17'!F55</f>
        <v>7.970000000000001</v>
      </c>
      <c r="P55" s="106">
        <f>#N/A</f>
        <v>-7.029999999999999</v>
      </c>
      <c r="Q55" s="119">
        <f>#N/A</f>
        <v>53.13333333333333</v>
      </c>
      <c r="R55" s="37"/>
      <c r="S55" s="94"/>
      <c r="T55" s="147">
        <f>#N/A</f>
        <v>170</v>
      </c>
    </row>
    <row r="56" spans="1:20" s="6" customFormat="1" ht="46.5">
      <c r="A56" s="8"/>
      <c r="B56" s="13" t="s">
        <v>17</v>
      </c>
      <c r="C56" s="11" t="s">
        <v>18</v>
      </c>
      <c r="D56" s="150">
        <v>2.5</v>
      </c>
      <c r="E56" s="150">
        <v>2.5</v>
      </c>
      <c r="F56" s="156">
        <v>1.67</v>
      </c>
      <c r="G56" s="162">
        <f>#N/A</f>
        <v>-0.8300000000000001</v>
      </c>
      <c r="H56" s="164"/>
      <c r="I56" s="165">
        <f>#N/A</f>
        <v>-0.8300000000000001</v>
      </c>
      <c r="J56" s="165">
        <f>#N/A</f>
        <v>66.8</v>
      </c>
      <c r="K56" s="165">
        <v>2.46</v>
      </c>
      <c r="L56" s="165">
        <f>F56-K56</f>
        <v>-0.79</v>
      </c>
      <c r="M56" s="218">
        <f>#N/A</f>
        <v>0.6788617886178862</v>
      </c>
      <c r="N56" s="164">
        <f>E56-'січень 17'!E56</f>
        <v>2.5</v>
      </c>
      <c r="O56" s="168">
        <f>F56-'січень 17'!F56</f>
        <v>0</v>
      </c>
      <c r="P56" s="167">
        <f>#N/A</f>
        <v>-2.5</v>
      </c>
      <c r="Q56" s="165"/>
      <c r="R56" s="37"/>
      <c r="S56" s="94"/>
      <c r="T56" s="147">
        <f>#N/A</f>
        <v>0</v>
      </c>
    </row>
    <row r="57" spans="1:20" s="6" customFormat="1" ht="15.75" customHeight="1">
      <c r="A57" s="8"/>
      <c r="B57" s="131" t="s">
        <v>13</v>
      </c>
      <c r="C57" s="11" t="s">
        <v>19</v>
      </c>
      <c r="D57" s="150">
        <v>7350</v>
      </c>
      <c r="E57" s="150">
        <v>2200</v>
      </c>
      <c r="F57" s="156">
        <v>2711.43</v>
      </c>
      <c r="G57" s="162">
        <f>#N/A</f>
        <v>511.42999999999984</v>
      </c>
      <c r="H57" s="164">
        <f>#N/A</f>
        <v>123.24681818181817</v>
      </c>
      <c r="I57" s="165">
        <f>#N/A</f>
        <v>-4638.57</v>
      </c>
      <c r="J57" s="165">
        <f>#N/A</f>
        <v>36.890204081632646</v>
      </c>
      <c r="K57" s="165">
        <v>722.66</v>
      </c>
      <c r="L57" s="165">
        <f>#N/A</f>
        <v>1988.77</v>
      </c>
      <c r="M57" s="218">
        <f>#N/A</f>
        <v>3.752013394957518</v>
      </c>
      <c r="N57" s="164">
        <f>E57-'січень 17'!E57</f>
        <v>600</v>
      </c>
      <c r="O57" s="168">
        <f>F57-'січень 17'!F57</f>
        <v>464.0999999999999</v>
      </c>
      <c r="P57" s="167">
        <f>#N/A</f>
        <v>-135.9000000000001</v>
      </c>
      <c r="Q57" s="165">
        <f>#N/A</f>
        <v>77.34999999999998</v>
      </c>
      <c r="R57" s="37"/>
      <c r="S57" s="94"/>
      <c r="T57" s="147">
        <f>#N/A</f>
        <v>5150</v>
      </c>
    </row>
    <row r="58" spans="1:20" s="6" customFormat="1" ht="18" hidden="1">
      <c r="A58" s="8"/>
      <c r="B58" s="12" t="s">
        <v>22</v>
      </c>
      <c r="C58" s="61" t="s">
        <v>23</v>
      </c>
      <c r="D58" s="31">
        <v>0</v>
      </c>
      <c r="E58" s="31">
        <v>0</v>
      </c>
      <c r="F58" s="139">
        <v>0</v>
      </c>
      <c r="G58" s="162">
        <f>#N/A</f>
        <v>0</v>
      </c>
      <c r="H58" s="164" t="e">
        <f>#N/A</f>
        <v>#DIV/0!</v>
      </c>
      <c r="I58" s="165">
        <f>#N/A</f>
        <v>0</v>
      </c>
      <c r="J58" s="165" t="e">
        <f>#N/A</f>
        <v>#DIV/0!</v>
      </c>
      <c r="K58" s="165"/>
      <c r="L58" s="165">
        <f>#N/A</f>
        <v>0</v>
      </c>
      <c r="M58" s="218" t="e">
        <f>#N/A</f>
        <v>#DIV/0!</v>
      </c>
      <c r="N58" s="164">
        <f>E58-'січень 17'!E58</f>
        <v>0</v>
      </c>
      <c r="O58" s="168">
        <f>F58-'січень 17'!F58</f>
        <v>0</v>
      </c>
      <c r="P58" s="167">
        <f>#N/A</f>
        <v>0</v>
      </c>
      <c r="Q58" s="165" t="e">
        <f>#N/A</f>
        <v>#DIV/0!</v>
      </c>
      <c r="R58" s="37"/>
      <c r="S58" s="94"/>
      <c r="T58" s="147">
        <f>#N/A</f>
        <v>0</v>
      </c>
    </row>
    <row r="59" spans="1:20" s="6" customFormat="1" ht="30.75">
      <c r="A59" s="8"/>
      <c r="B59" s="50" t="s">
        <v>42</v>
      </c>
      <c r="C59" s="61"/>
      <c r="D59" s="103"/>
      <c r="E59" s="103"/>
      <c r="F59" s="201">
        <f>285.33+6</f>
        <v>291.33</v>
      </c>
      <c r="G59" s="162"/>
      <c r="H59" s="164"/>
      <c r="I59" s="165"/>
      <c r="J59" s="165"/>
      <c r="K59" s="166">
        <v>147.3</v>
      </c>
      <c r="L59" s="165">
        <f>#N/A</f>
        <v>144.02999999999997</v>
      </c>
      <c r="M59" s="218">
        <f>#N/A</f>
        <v>1.9778004073319753</v>
      </c>
      <c r="N59" s="164">
        <f>E59-'січень 17'!E59</f>
        <v>0</v>
      </c>
      <c r="O59" s="168">
        <f>F59-'січень 17'!F59</f>
        <v>124.11999999999998</v>
      </c>
      <c r="P59" s="166"/>
      <c r="Q59" s="165"/>
      <c r="R59" s="37"/>
      <c r="S59" s="94"/>
      <c r="T59" s="147">
        <f>#N/A</f>
        <v>0</v>
      </c>
    </row>
    <row r="60" spans="1:20" s="6" customFormat="1" ht="18" hidden="1">
      <c r="A60" s="8"/>
      <c r="B60" s="131" t="s">
        <v>20</v>
      </c>
      <c r="C60" s="128" t="s">
        <v>21</v>
      </c>
      <c r="D60" s="34">
        <v>0</v>
      </c>
      <c r="E60" s="34">
        <v>0</v>
      </c>
      <c r="F60" s="141">
        <v>0</v>
      </c>
      <c r="G60" s="162">
        <f>#N/A</f>
        <v>0</v>
      </c>
      <c r="H60" s="164"/>
      <c r="I60" s="165">
        <f>#N/A</f>
        <v>0</v>
      </c>
      <c r="J60" s="165"/>
      <c r="K60" s="166"/>
      <c r="L60" s="165">
        <f>#N/A</f>
        <v>0</v>
      </c>
      <c r="M60" s="218" t="e">
        <f>#N/A</f>
        <v>#DIV/0!</v>
      </c>
      <c r="N60" s="164">
        <f>E60-'січень 17'!E60</f>
        <v>0</v>
      </c>
      <c r="O60" s="168">
        <f>F60-'січень 17'!F60</f>
        <v>0</v>
      </c>
      <c r="P60" s="167">
        <f>#N/A</f>
        <v>0</v>
      </c>
      <c r="Q60" s="165"/>
      <c r="R60" s="37"/>
      <c r="S60" s="94"/>
      <c r="T60" s="147">
        <f>#N/A</f>
        <v>0</v>
      </c>
    </row>
    <row r="61" spans="1:20" s="6" customFormat="1" ht="44.25" customHeight="1">
      <c r="A61" s="8"/>
      <c r="B61" s="131" t="s">
        <v>43</v>
      </c>
      <c r="C61" s="43">
        <v>24061900</v>
      </c>
      <c r="D61" s="150">
        <v>160</v>
      </c>
      <c r="E61" s="150">
        <v>10</v>
      </c>
      <c r="F61" s="156">
        <v>32.89</v>
      </c>
      <c r="G61" s="162">
        <f>#N/A</f>
        <v>22.89</v>
      </c>
      <c r="H61" s="164">
        <f>#N/A</f>
        <v>328.90000000000003</v>
      </c>
      <c r="I61" s="165">
        <f>#N/A</f>
        <v>-127.11</v>
      </c>
      <c r="J61" s="165">
        <f>#N/A</f>
        <v>20.556250000000002</v>
      </c>
      <c r="K61" s="165">
        <v>32.19</v>
      </c>
      <c r="L61" s="165">
        <f>#N/A</f>
        <v>0.7000000000000028</v>
      </c>
      <c r="M61" s="218">
        <f>#N/A</f>
        <v>1.0217458838148494</v>
      </c>
      <c r="N61" s="164">
        <f>E61-'січень 17'!E61</f>
        <v>0</v>
      </c>
      <c r="O61" s="168">
        <f>F61-'січень 17'!F61</f>
        <v>0</v>
      </c>
      <c r="P61" s="167">
        <f>#N/A</f>
        <v>0</v>
      </c>
      <c r="Q61" s="165"/>
      <c r="R61" s="37"/>
      <c r="S61" s="94"/>
      <c r="T61" s="147">
        <f>#N/A</f>
        <v>150</v>
      </c>
    </row>
    <row r="62" spans="1:20" s="6" customFormat="1" ht="34.5" customHeight="1">
      <c r="A62" s="8"/>
      <c r="B62" s="12" t="s">
        <v>44</v>
      </c>
      <c r="C62" s="43">
        <v>31010200</v>
      </c>
      <c r="D62" s="150">
        <v>15</v>
      </c>
      <c r="E62" s="150">
        <v>2.5</v>
      </c>
      <c r="F62" s="156">
        <v>8.6</v>
      </c>
      <c r="G62" s="162">
        <f>#N/A</f>
        <v>6.1</v>
      </c>
      <c r="H62" s="164">
        <f>#N/A</f>
        <v>344</v>
      </c>
      <c r="I62" s="165">
        <f>#N/A</f>
        <v>-6.4</v>
      </c>
      <c r="J62" s="165">
        <f>#N/A</f>
        <v>57.333333333333336</v>
      </c>
      <c r="K62" s="165">
        <v>3.8</v>
      </c>
      <c r="L62" s="165">
        <f>#N/A</f>
        <v>4.8</v>
      </c>
      <c r="M62" s="218">
        <f>#N/A</f>
        <v>2.263157894736842</v>
      </c>
      <c r="N62" s="164">
        <f>E62-'січень 17'!E62</f>
        <v>1.3</v>
      </c>
      <c r="O62" s="168">
        <f>F62-'січень 17'!F62</f>
        <v>7.109999999999999</v>
      </c>
      <c r="P62" s="167">
        <f>#N/A</f>
        <v>5.81</v>
      </c>
      <c r="Q62" s="165">
        <f>#N/A</f>
        <v>546.9230769230768</v>
      </c>
      <c r="R62" s="37"/>
      <c r="S62" s="94"/>
      <c r="T62" s="147">
        <f>#N/A</f>
        <v>12.5</v>
      </c>
    </row>
    <row r="63" spans="1:20" s="6" customFormat="1" ht="30.75">
      <c r="A63" s="8"/>
      <c r="B63" s="131" t="s">
        <v>57</v>
      </c>
      <c r="C63" s="43">
        <v>31020000</v>
      </c>
      <c r="D63" s="150">
        <v>0</v>
      </c>
      <c r="E63" s="150">
        <v>0</v>
      </c>
      <c r="F63" s="156">
        <v>-5.33</v>
      </c>
      <c r="G63" s="162">
        <f>#N/A</f>
        <v>-5.33</v>
      </c>
      <c r="H63" s="164"/>
      <c r="I63" s="165">
        <f>#N/A</f>
        <v>-5.33</v>
      </c>
      <c r="J63" s="165"/>
      <c r="K63" s="165">
        <v>0.54</v>
      </c>
      <c r="L63" s="165">
        <f>#N/A</f>
        <v>-5.87</v>
      </c>
      <c r="M63" s="218">
        <f>#N/A</f>
        <v>-9.87037037037037</v>
      </c>
      <c r="N63" s="164">
        <f>E63-'січень 17'!E63</f>
        <v>0</v>
      </c>
      <c r="O63" s="168">
        <f>F63-'січень 17'!F63</f>
        <v>-5.33</v>
      </c>
      <c r="P63" s="167">
        <f>#N/A</f>
        <v>-5.33</v>
      </c>
      <c r="Q63" s="165"/>
      <c r="R63" s="37"/>
      <c r="S63" s="94"/>
      <c r="T63" s="147">
        <f>#N/A</f>
        <v>0</v>
      </c>
    </row>
    <row r="64" spans="1:21" s="6" customFormat="1" ht="18">
      <c r="A64" s="9"/>
      <c r="B64" s="14" t="s">
        <v>28</v>
      </c>
      <c r="C64" s="62"/>
      <c r="D64" s="151">
        <f>D8+D38+D62+D63</f>
        <v>1357491.1</v>
      </c>
      <c r="E64" s="151">
        <f>E8+E38+E62+E63</f>
        <v>204022.1</v>
      </c>
      <c r="F64" s="151">
        <f>F8+F38+F62+F63</f>
        <v>203526.37000000005</v>
      </c>
      <c r="G64" s="151">
        <f>F64-E64</f>
        <v>-495.72999999995227</v>
      </c>
      <c r="H64" s="152">
        <f>F64/E64*100</f>
        <v>99.75702142071866</v>
      </c>
      <c r="I64" s="153">
        <f>F64-D64</f>
        <v>-1153964.73</v>
      </c>
      <c r="J64" s="153">
        <f>F64/D64*100</f>
        <v>14.992832733857336</v>
      </c>
      <c r="K64" s="153">
        <v>145343.26</v>
      </c>
      <c r="L64" s="153">
        <f>F64-K64</f>
        <v>58183.110000000044</v>
      </c>
      <c r="M64" s="219">
        <f>F64/K64</f>
        <v>1.4003151573729669</v>
      </c>
      <c r="N64" s="151">
        <f>N8+N38+N62+N63</f>
        <v>106665.6</v>
      </c>
      <c r="O64" s="151">
        <f>O8+O38+O62+O63</f>
        <v>105440.18</v>
      </c>
      <c r="P64" s="155">
        <f>O64-N64</f>
        <v>-1225.4200000000128</v>
      </c>
      <c r="Q64" s="153">
        <f>O64/N64*100</f>
        <v>98.85115726157261</v>
      </c>
      <c r="R64" s="27">
        <f>O64-34768</f>
        <v>70672.18</v>
      </c>
      <c r="S64" s="115">
        <f>O64/34768</f>
        <v>3.0326789001380576</v>
      </c>
      <c r="T64" s="147">
        <f>#N/A</f>
        <v>1153469</v>
      </c>
      <c r="U64" s="132"/>
    </row>
    <row r="65" spans="1:20" s="48" customFormat="1" ht="17.25" hidden="1">
      <c r="A65" s="45"/>
      <c r="B65" s="55"/>
      <c r="C65" s="63"/>
      <c r="D65" s="46"/>
      <c r="E65" s="46"/>
      <c r="F65" s="82"/>
      <c r="G65" s="77"/>
      <c r="H65" s="47"/>
      <c r="I65" s="54"/>
      <c r="J65" s="35"/>
      <c r="K65" s="35"/>
      <c r="L65" s="35"/>
      <c r="M65" s="35"/>
      <c r="N65" s="47"/>
      <c r="O65" s="46"/>
      <c r="P65" s="79"/>
      <c r="Q65" s="35"/>
      <c r="R65" s="35"/>
      <c r="S65" s="96"/>
      <c r="T65" s="147">
        <f>#N/A</f>
        <v>0</v>
      </c>
    </row>
    <row r="66" spans="1:20" s="48" customFormat="1" ht="17.25" hidden="1">
      <c r="A66" s="45"/>
      <c r="B66" s="56"/>
      <c r="C66" s="63"/>
      <c r="D66" s="57"/>
      <c r="E66" s="46"/>
      <c r="F66" s="82"/>
      <c r="G66" s="40"/>
      <c r="H66" s="47"/>
      <c r="I66" s="58"/>
      <c r="J66" s="35"/>
      <c r="K66" s="35"/>
      <c r="L66" s="35"/>
      <c r="M66" s="35"/>
      <c r="N66" s="30"/>
      <c r="O66" s="46"/>
      <c r="P66" s="59"/>
      <c r="Q66" s="35"/>
      <c r="R66" s="35"/>
      <c r="S66" s="96"/>
      <c r="T66" s="147">
        <f>#N/A</f>
        <v>0</v>
      </c>
    </row>
    <row r="67" spans="1:20" s="48" customFormat="1" ht="17.25" hidden="1">
      <c r="A67" s="45"/>
      <c r="B67" s="56"/>
      <c r="C67" s="63"/>
      <c r="D67" s="57"/>
      <c r="E67" s="34"/>
      <c r="F67" s="111"/>
      <c r="G67" s="40"/>
      <c r="H67" s="47"/>
      <c r="I67" s="58"/>
      <c r="J67" s="35"/>
      <c r="K67" s="35"/>
      <c r="L67" s="35"/>
      <c r="M67" s="35"/>
      <c r="N67" s="30"/>
      <c r="O67" s="57"/>
      <c r="P67" s="79"/>
      <c r="Q67" s="35"/>
      <c r="R67" s="35"/>
      <c r="S67" s="96"/>
      <c r="T67" s="147">
        <f>#N/A</f>
        <v>0</v>
      </c>
    </row>
    <row r="68" spans="2:21" ht="15">
      <c r="B68" s="22" t="s">
        <v>108</v>
      </c>
      <c r="C68" s="64"/>
      <c r="D68" s="24"/>
      <c r="E68" s="24"/>
      <c r="F68" s="142"/>
      <c r="G68" s="34"/>
      <c r="H68" s="30"/>
      <c r="I68" s="38"/>
      <c r="J68" s="38"/>
      <c r="K68" s="38"/>
      <c r="L68" s="38"/>
      <c r="M68" s="38"/>
      <c r="N68" s="31"/>
      <c r="O68" s="146"/>
      <c r="P68" s="36"/>
      <c r="Q68" s="38"/>
      <c r="R68" s="38"/>
      <c r="S68" s="97"/>
      <c r="T68" s="147">
        <f>#N/A</f>
        <v>0</v>
      </c>
      <c r="U68" s="78"/>
    </row>
    <row r="69" spans="2:20" ht="25.5" customHeight="1" hidden="1">
      <c r="B69" s="235" t="s">
        <v>100</v>
      </c>
      <c r="C69" s="135">
        <v>12020000</v>
      </c>
      <c r="D69" s="180">
        <v>0</v>
      </c>
      <c r="E69" s="180"/>
      <c r="F69" s="181">
        <v>0.01</v>
      </c>
      <c r="G69" s="162"/>
      <c r="H69" s="164"/>
      <c r="I69" s="167"/>
      <c r="J69" s="167"/>
      <c r="K69" s="167">
        <v>0.01</v>
      </c>
      <c r="L69" s="167">
        <f>F69-K69</f>
        <v>0</v>
      </c>
      <c r="M69" s="209">
        <f>F69/K69</f>
        <v>1</v>
      </c>
      <c r="N69" s="162">
        <f>E69-'січень 17'!E69</f>
        <v>0</v>
      </c>
      <c r="O69" s="182">
        <f>F69-'січень 17'!F69</f>
        <v>0</v>
      </c>
      <c r="P69" s="167"/>
      <c r="Q69" s="167"/>
      <c r="R69" s="38"/>
      <c r="S69" s="97"/>
      <c r="T69" s="147">
        <f>#N/A</f>
        <v>0</v>
      </c>
    </row>
    <row r="70" spans="2:20" ht="31.5" hidden="1">
      <c r="B70" s="236" t="s">
        <v>62</v>
      </c>
      <c r="C70" s="73">
        <v>18041500</v>
      </c>
      <c r="D70" s="180">
        <v>0</v>
      </c>
      <c r="E70" s="180"/>
      <c r="F70" s="181">
        <v>0</v>
      </c>
      <c r="G70" s="162">
        <f>F70-E70</f>
        <v>0</v>
      </c>
      <c r="H70" s="164"/>
      <c r="I70" s="167">
        <f>F70-D70</f>
        <v>0</v>
      </c>
      <c r="J70" s="167"/>
      <c r="K70" s="167">
        <v>-55.72</v>
      </c>
      <c r="L70" s="167">
        <f>F70-K70</f>
        <v>55.72</v>
      </c>
      <c r="M70" s="209">
        <f>F70/K70</f>
        <v>0</v>
      </c>
      <c r="N70" s="162">
        <f>E70-'січень 17'!E70</f>
        <v>0</v>
      </c>
      <c r="O70" s="182">
        <f>F70-'січень 17'!F70</f>
        <v>0</v>
      </c>
      <c r="P70" s="167">
        <f>O70-N70</f>
        <v>0</v>
      </c>
      <c r="Q70" s="167"/>
      <c r="R70" s="38"/>
      <c r="S70" s="97"/>
      <c r="T70" s="147">
        <f>#N/A</f>
        <v>0</v>
      </c>
    </row>
    <row r="71" spans="2:21" ht="17.25">
      <c r="B71" s="28" t="s">
        <v>45</v>
      </c>
      <c r="C71" s="74"/>
      <c r="D71" s="183">
        <f>D70</f>
        <v>0</v>
      </c>
      <c r="E71" s="183">
        <f>E70</f>
        <v>0</v>
      </c>
      <c r="F71" s="184">
        <f>SUM(F69:F70)</f>
        <v>0.01</v>
      </c>
      <c r="G71" s="185">
        <f>F71-E71</f>
        <v>0.01</v>
      </c>
      <c r="H71" s="186"/>
      <c r="I71" s="187">
        <f>F71-D71</f>
        <v>0.01</v>
      </c>
      <c r="J71" s="187"/>
      <c r="K71" s="187">
        <v>-0.27</v>
      </c>
      <c r="L71" s="187">
        <f>F71-K71</f>
        <v>0.28</v>
      </c>
      <c r="M71" s="214">
        <f>F71/K71</f>
        <v>-0.037037037037037035</v>
      </c>
      <c r="N71" s="185">
        <f>N70</f>
        <v>0</v>
      </c>
      <c r="O71" s="188">
        <f>SUM(O69:O70)</f>
        <v>0</v>
      </c>
      <c r="P71" s="187">
        <f>O71-N71</f>
        <v>0</v>
      </c>
      <c r="Q71" s="187"/>
      <c r="R71" s="39"/>
      <c r="S71" s="98"/>
      <c r="T71" s="147">
        <f>#N/A</f>
        <v>0</v>
      </c>
      <c r="U71" s="78"/>
    </row>
    <row r="72" spans="2:20" ht="45.75">
      <c r="B72" s="28" t="s">
        <v>37</v>
      </c>
      <c r="C72" s="135">
        <v>21110000</v>
      </c>
      <c r="D72" s="183">
        <v>0</v>
      </c>
      <c r="E72" s="183">
        <v>0</v>
      </c>
      <c r="F72" s="184">
        <v>26.66</v>
      </c>
      <c r="G72" s="185">
        <f>#N/A</f>
        <v>26.66</v>
      </c>
      <c r="H72" s="186"/>
      <c r="I72" s="187">
        <f>#N/A</f>
        <v>26.66</v>
      </c>
      <c r="J72" s="187"/>
      <c r="K72" s="187">
        <v>0</v>
      </c>
      <c r="L72" s="187">
        <f>#N/A</f>
        <v>26.66</v>
      </c>
      <c r="M72" s="209"/>
      <c r="N72" s="186">
        <f>E72-'січень 17'!E72</f>
        <v>0</v>
      </c>
      <c r="O72" s="289">
        <f>F72-'січень 17'!F72</f>
        <v>14.85</v>
      </c>
      <c r="P72" s="187">
        <f>#N/A</f>
        <v>14.85</v>
      </c>
      <c r="Q72" s="187"/>
      <c r="R72" s="38"/>
      <c r="S72" s="97"/>
      <c r="T72" s="147">
        <f>#N/A</f>
        <v>0</v>
      </c>
    </row>
    <row r="73" spans="2:21" ht="31.5">
      <c r="B73" s="23" t="s">
        <v>29</v>
      </c>
      <c r="C73" s="73">
        <v>31030000</v>
      </c>
      <c r="D73" s="180">
        <f>4000+100206.03</f>
        <v>104206.03</v>
      </c>
      <c r="E73" s="180">
        <v>0</v>
      </c>
      <c r="F73" s="181">
        <v>0.07</v>
      </c>
      <c r="G73" s="162">
        <f>#N/A</f>
        <v>0.07</v>
      </c>
      <c r="H73" s="164"/>
      <c r="I73" s="167">
        <f>#N/A</f>
        <v>-104205.95999999999</v>
      </c>
      <c r="J73" s="167">
        <f>F73/D73*100</f>
        <v>6.71746155188908E-05</v>
      </c>
      <c r="K73" s="167">
        <v>0.1</v>
      </c>
      <c r="L73" s="167">
        <f>#N/A</f>
        <v>-0.03</v>
      </c>
      <c r="M73" s="209">
        <f>F73/K73</f>
        <v>0.7000000000000001</v>
      </c>
      <c r="N73" s="164">
        <f>E73-'січень 17'!E73</f>
        <v>0</v>
      </c>
      <c r="O73" s="168">
        <f>F73-'січень 17'!F73</f>
        <v>0.030000000000000006</v>
      </c>
      <c r="P73" s="167">
        <f>#N/A</f>
        <v>0.030000000000000006</v>
      </c>
      <c r="Q73" s="167"/>
      <c r="R73" s="38"/>
      <c r="S73" s="97"/>
      <c r="T73" s="147">
        <f>#N/A</f>
        <v>104206.03</v>
      </c>
      <c r="U73" s="4">
        <v>0</v>
      </c>
    </row>
    <row r="74" spans="2:20" ht="18">
      <c r="B74" s="23" t="s">
        <v>30</v>
      </c>
      <c r="C74" s="73">
        <v>33010000</v>
      </c>
      <c r="D74" s="180">
        <f>8000+46000</f>
        <v>54000</v>
      </c>
      <c r="E74" s="180">
        <v>1230</v>
      </c>
      <c r="F74" s="181">
        <v>48.34</v>
      </c>
      <c r="G74" s="162">
        <f>#N/A</f>
        <v>-1181.66</v>
      </c>
      <c r="H74" s="164">
        <f>F74/E74*100</f>
        <v>3.930081300813008</v>
      </c>
      <c r="I74" s="167">
        <f>#N/A</f>
        <v>-53951.66</v>
      </c>
      <c r="J74" s="167">
        <f>F74/D74*100</f>
        <v>0.08951851851851853</v>
      </c>
      <c r="K74" s="167">
        <v>376.67</v>
      </c>
      <c r="L74" s="167">
        <f>#N/A</f>
        <v>-328.33000000000004</v>
      </c>
      <c r="M74" s="209">
        <f>F74/K74</f>
        <v>0.12833514747657102</v>
      </c>
      <c r="N74" s="164">
        <f>E74-'січень 17'!E74</f>
        <v>630</v>
      </c>
      <c r="O74" s="168">
        <f>F74-'січень 17'!F74</f>
        <v>46.440000000000005</v>
      </c>
      <c r="P74" s="167">
        <f>#N/A</f>
        <v>-583.56</v>
      </c>
      <c r="Q74" s="167">
        <f>O74/N74*100</f>
        <v>7.371428571428572</v>
      </c>
      <c r="R74" s="38"/>
      <c r="S74" s="97"/>
      <c r="T74" s="147">
        <f>#N/A</f>
        <v>52770</v>
      </c>
    </row>
    <row r="75" spans="2:20" ht="31.5">
      <c r="B75" s="23" t="s">
        <v>54</v>
      </c>
      <c r="C75" s="73">
        <v>24170000</v>
      </c>
      <c r="D75" s="180">
        <f>10000+69000</f>
        <v>79000</v>
      </c>
      <c r="E75" s="180">
        <v>800</v>
      </c>
      <c r="F75" s="181">
        <v>1102.59</v>
      </c>
      <c r="G75" s="162">
        <f>#N/A</f>
        <v>302.5899999999999</v>
      </c>
      <c r="H75" s="164">
        <f>F75/E75*100</f>
        <v>137.82375</v>
      </c>
      <c r="I75" s="167">
        <f>#N/A</f>
        <v>-77897.41</v>
      </c>
      <c r="J75" s="167">
        <f>F75/D75*100</f>
        <v>1.3956835443037974</v>
      </c>
      <c r="K75" s="167">
        <v>646.84</v>
      </c>
      <c r="L75" s="167">
        <f>#N/A</f>
        <v>455.7499999999999</v>
      </c>
      <c r="M75" s="209">
        <f>F75/K75</f>
        <v>1.704579184960732</v>
      </c>
      <c r="N75" s="164">
        <f>E75-'січень 17'!E75</f>
        <v>400</v>
      </c>
      <c r="O75" s="168">
        <f>F75-'січень 17'!F75</f>
        <v>1012.4699999999999</v>
      </c>
      <c r="P75" s="167">
        <f>#N/A</f>
        <v>612.4699999999999</v>
      </c>
      <c r="Q75" s="167">
        <f>O75/N75*100</f>
        <v>253.11749999999998</v>
      </c>
      <c r="R75" s="38"/>
      <c r="S75" s="97"/>
      <c r="T75" s="147">
        <f>#N/A</f>
        <v>78200</v>
      </c>
    </row>
    <row r="76" spans="2:20" ht="18">
      <c r="B76" s="23" t="s">
        <v>101</v>
      </c>
      <c r="C76" s="73">
        <v>24110700</v>
      </c>
      <c r="D76" s="180">
        <v>12</v>
      </c>
      <c r="E76" s="180">
        <v>2</v>
      </c>
      <c r="F76" s="181">
        <v>2</v>
      </c>
      <c r="G76" s="162">
        <f>#N/A</f>
        <v>0</v>
      </c>
      <c r="H76" s="164">
        <f>F76/E76*100</f>
        <v>100</v>
      </c>
      <c r="I76" s="167">
        <f>#N/A</f>
        <v>-10</v>
      </c>
      <c r="J76" s="167">
        <f>F76/D76*100</f>
        <v>16.666666666666664</v>
      </c>
      <c r="K76" s="167">
        <v>2</v>
      </c>
      <c r="L76" s="167">
        <f>#N/A</f>
        <v>0</v>
      </c>
      <c r="M76" s="209"/>
      <c r="N76" s="164">
        <f>E76-'січень 17'!E76</f>
        <v>1</v>
      </c>
      <c r="O76" s="168">
        <f>F76-'січень 17'!F76</f>
        <v>1</v>
      </c>
      <c r="P76" s="167">
        <f>#N/A</f>
        <v>0</v>
      </c>
      <c r="Q76" s="167">
        <f>O76/N76*100</f>
        <v>100</v>
      </c>
      <c r="R76" s="38"/>
      <c r="S76" s="136"/>
      <c r="T76" s="147">
        <f>#N/A</f>
        <v>10</v>
      </c>
    </row>
    <row r="77" spans="2:20" ht="33">
      <c r="B77" s="28" t="s">
        <v>51</v>
      </c>
      <c r="C77" s="65"/>
      <c r="D77" s="183">
        <f>D73+D74+D75+D76</f>
        <v>237218.03</v>
      </c>
      <c r="E77" s="183">
        <f>E73+E74+E75+E76</f>
        <v>2032</v>
      </c>
      <c r="F77" s="184">
        <f>F73+F74+F75+F76</f>
        <v>1153</v>
      </c>
      <c r="G77" s="185">
        <f>#N/A</f>
        <v>-879</v>
      </c>
      <c r="H77" s="186">
        <f>F77/E77*100</f>
        <v>56.74212598425197</v>
      </c>
      <c r="I77" s="187">
        <f>#N/A</f>
        <v>-236065.03</v>
      </c>
      <c r="J77" s="187">
        <f>F77/D77*100</f>
        <v>0.48605074411923915</v>
      </c>
      <c r="K77" s="187">
        <v>1025.62</v>
      </c>
      <c r="L77" s="187">
        <f>#N/A</f>
        <v>127.38000000000011</v>
      </c>
      <c r="M77" s="214">
        <f>F77/K77</f>
        <v>1.1241980460599443</v>
      </c>
      <c r="N77" s="185">
        <f>N73+N74+N75+N76</f>
        <v>1031</v>
      </c>
      <c r="O77" s="189">
        <f>O73+O74+O75+O76</f>
        <v>1059.9399999999998</v>
      </c>
      <c r="P77" s="187">
        <f>#N/A</f>
        <v>28.939999999999827</v>
      </c>
      <c r="Q77" s="187">
        <f>O77/N77*100</f>
        <v>102.8069835111542</v>
      </c>
      <c r="R77" s="39"/>
      <c r="S77" s="116"/>
      <c r="T77" s="147">
        <f>#N/A</f>
        <v>235186.03</v>
      </c>
    </row>
    <row r="78" spans="2:20" ht="46.5">
      <c r="B78" s="12" t="s">
        <v>40</v>
      </c>
      <c r="C78" s="75">
        <v>24062100</v>
      </c>
      <c r="D78" s="180">
        <v>40</v>
      </c>
      <c r="E78" s="180">
        <v>0</v>
      </c>
      <c r="F78" s="181">
        <v>8.78</v>
      </c>
      <c r="G78" s="162">
        <f>#N/A</f>
        <v>8.78</v>
      </c>
      <c r="H78" s="164"/>
      <c r="I78" s="167">
        <f>#N/A</f>
        <v>-31.22</v>
      </c>
      <c r="J78" s="167"/>
      <c r="K78" s="167">
        <v>0.01</v>
      </c>
      <c r="L78" s="167">
        <f>#N/A</f>
        <v>8.77</v>
      </c>
      <c r="M78" s="209">
        <f>F78/K78</f>
        <v>877.9999999999999</v>
      </c>
      <c r="N78" s="164">
        <f>E78-'січень 17'!E78</f>
        <v>0</v>
      </c>
      <c r="O78" s="168">
        <f>F78-'січень 17'!F78</f>
        <v>8.44</v>
      </c>
      <c r="P78" s="167">
        <f>#N/A</f>
        <v>8.44</v>
      </c>
      <c r="Q78" s="167"/>
      <c r="R78" s="38"/>
      <c r="S78" s="97"/>
      <c r="T78" s="147">
        <f>#N/A</f>
        <v>40</v>
      </c>
    </row>
    <row r="79" spans="2:20" ht="18">
      <c r="B79" s="23" t="s">
        <v>52</v>
      </c>
      <c r="C79" s="73">
        <v>24061600</v>
      </c>
      <c r="D79" s="180">
        <v>0</v>
      </c>
      <c r="E79" s="180">
        <v>0</v>
      </c>
      <c r="F79" s="181">
        <v>0</v>
      </c>
      <c r="G79" s="162">
        <f>#N/A</f>
        <v>0</v>
      </c>
      <c r="H79" s="164"/>
      <c r="I79" s="167">
        <f>#N/A</f>
        <v>0</v>
      </c>
      <c r="J79" s="190"/>
      <c r="K79" s="167">
        <v>0</v>
      </c>
      <c r="L79" s="167">
        <f>#N/A</f>
        <v>0</v>
      </c>
      <c r="M79" s="209" t="e">
        <f>F79/K79</f>
        <v>#DIV/0!</v>
      </c>
      <c r="N79" s="164">
        <f>E79-'січень 17'!E79</f>
        <v>0</v>
      </c>
      <c r="O79" s="168">
        <f>F79-'січень 17'!F79</f>
        <v>0</v>
      </c>
      <c r="P79" s="167">
        <f>#N/A</f>
        <v>0</v>
      </c>
      <c r="Q79" s="190"/>
      <c r="R79" s="41"/>
      <c r="S79" s="99"/>
      <c r="T79" s="147">
        <f>#N/A</f>
        <v>0</v>
      </c>
    </row>
    <row r="80" spans="2:20" ht="18">
      <c r="B80" s="23" t="s">
        <v>46</v>
      </c>
      <c r="C80" s="73">
        <v>19010000</v>
      </c>
      <c r="D80" s="180">
        <v>8360</v>
      </c>
      <c r="E80" s="180">
        <v>2350</v>
      </c>
      <c r="F80" s="181">
        <v>2217.23</v>
      </c>
      <c r="G80" s="162">
        <f>#N/A</f>
        <v>-132.76999999999998</v>
      </c>
      <c r="H80" s="164">
        <f>F80/E80*100</f>
        <v>94.35021276595745</v>
      </c>
      <c r="I80" s="167">
        <f>#N/A</f>
        <v>-6142.77</v>
      </c>
      <c r="J80" s="167">
        <f>F80/D80*100</f>
        <v>26.52188995215311</v>
      </c>
      <c r="K80" s="167">
        <v>2013.66</v>
      </c>
      <c r="L80" s="167">
        <f>#N/A</f>
        <v>203.56999999999994</v>
      </c>
      <c r="M80" s="209"/>
      <c r="N80" s="164">
        <f>E80-'січень 17'!E80</f>
        <v>2342.5</v>
      </c>
      <c r="O80" s="168">
        <f>F80-'січень 17'!F80</f>
        <v>2205.75</v>
      </c>
      <c r="P80" s="167">
        <f>O80-N80</f>
        <v>-136.75</v>
      </c>
      <c r="Q80" s="190">
        <f>O80/N80*100</f>
        <v>94.16221985058698</v>
      </c>
      <c r="R80" s="41"/>
      <c r="S80" s="99"/>
      <c r="T80" s="147">
        <f>#N/A</f>
        <v>6010</v>
      </c>
    </row>
    <row r="81" spans="2:20" ht="31.5">
      <c r="B81" s="23" t="s">
        <v>50</v>
      </c>
      <c r="C81" s="73">
        <v>19050000</v>
      </c>
      <c r="D81" s="180">
        <v>0</v>
      </c>
      <c r="E81" s="180"/>
      <c r="F81" s="181">
        <v>0.03</v>
      </c>
      <c r="G81" s="162">
        <f>#N/A</f>
        <v>0.03</v>
      </c>
      <c r="H81" s="164"/>
      <c r="I81" s="167">
        <f>#N/A</f>
        <v>0.03</v>
      </c>
      <c r="J81" s="167"/>
      <c r="K81" s="167">
        <v>1.31</v>
      </c>
      <c r="L81" s="167">
        <f>#N/A</f>
        <v>-1.28</v>
      </c>
      <c r="M81" s="209">
        <f>#N/A</f>
        <v>0.022900763358778622</v>
      </c>
      <c r="N81" s="164">
        <f>E81-'січень 17'!E81</f>
        <v>0</v>
      </c>
      <c r="O81" s="168">
        <f>F81-'січень 17'!F81</f>
        <v>0.03</v>
      </c>
      <c r="P81" s="167">
        <f>#N/A</f>
        <v>0.03</v>
      </c>
      <c r="Q81" s="167"/>
      <c r="R81" s="38"/>
      <c r="S81" s="97"/>
      <c r="T81" s="147">
        <f>#N/A</f>
        <v>0</v>
      </c>
    </row>
    <row r="82" spans="2:20" ht="30">
      <c r="B82" s="28" t="s">
        <v>47</v>
      </c>
      <c r="C82" s="73"/>
      <c r="D82" s="183">
        <f>D78+D81+D79+D80</f>
        <v>8400</v>
      </c>
      <c r="E82" s="183">
        <f>E78+E81+E79+E80</f>
        <v>2350</v>
      </c>
      <c r="F82" s="184">
        <f>F78+F81+F79+F80</f>
        <v>2226.04</v>
      </c>
      <c r="G82" s="183">
        <f>G78+G81+G79+G80</f>
        <v>-123.95999999999998</v>
      </c>
      <c r="H82" s="186">
        <f>F82/E82*100</f>
        <v>94.72510638297872</v>
      </c>
      <c r="I82" s="187">
        <f>#N/A</f>
        <v>-6173.96</v>
      </c>
      <c r="J82" s="187">
        <f>F82/D82*100</f>
        <v>26.500476190476192</v>
      </c>
      <c r="K82" s="187">
        <v>2013.84</v>
      </c>
      <c r="L82" s="187">
        <f>#N/A</f>
        <v>212.20000000000005</v>
      </c>
      <c r="M82" s="220">
        <f>#N/A</f>
        <v>1.105370833829897</v>
      </c>
      <c r="N82" s="185">
        <f>N78+N81+N79+N80</f>
        <v>2342.5</v>
      </c>
      <c r="O82" s="189">
        <f>O78+O81+O79+O80</f>
        <v>2214.22</v>
      </c>
      <c r="P82" s="185">
        <f>P78+P81+P79+P80</f>
        <v>-128.28</v>
      </c>
      <c r="Q82" s="187">
        <f>O82/N82*100</f>
        <v>94.52379935965848</v>
      </c>
      <c r="R82" s="39"/>
      <c r="S82" s="96"/>
      <c r="T82" s="147">
        <f>#N/A</f>
        <v>6050</v>
      </c>
    </row>
    <row r="83" spans="2:20" ht="30.75">
      <c r="B83" s="12" t="s">
        <v>41</v>
      </c>
      <c r="C83" s="43">
        <v>24110900</v>
      </c>
      <c r="D83" s="180">
        <v>38</v>
      </c>
      <c r="E83" s="180">
        <v>4.9</v>
      </c>
      <c r="F83" s="181">
        <v>0.96</v>
      </c>
      <c r="G83" s="162">
        <f>#N/A</f>
        <v>-3.9400000000000004</v>
      </c>
      <c r="H83" s="164">
        <f>F83/E83*100</f>
        <v>19.591836734693878</v>
      </c>
      <c r="I83" s="167">
        <f>#N/A</f>
        <v>-37.04</v>
      </c>
      <c r="J83" s="167">
        <f>F83/D83*100</f>
        <v>2.526315789473684</v>
      </c>
      <c r="K83" s="167">
        <v>0.69</v>
      </c>
      <c r="L83" s="167">
        <f>#N/A</f>
        <v>0.27</v>
      </c>
      <c r="M83" s="209">
        <f>#N/A</f>
        <v>1.391304347826087</v>
      </c>
      <c r="N83" s="164">
        <f>E83-'січень 17'!E83</f>
        <v>2.5000000000000004</v>
      </c>
      <c r="O83" s="168">
        <f>F83-'січень 17'!F83</f>
        <v>0.6199999999999999</v>
      </c>
      <c r="P83" s="167">
        <f>#N/A</f>
        <v>-1.8800000000000006</v>
      </c>
      <c r="Q83" s="167">
        <f>O83/N83</f>
        <v>0.24799999999999991</v>
      </c>
      <c r="R83" s="38"/>
      <c r="S83" s="97"/>
      <c r="T83" s="147">
        <f>#N/A</f>
        <v>33.1</v>
      </c>
    </row>
    <row r="84" spans="2:20" ht="18" hidden="1">
      <c r="B84" s="122"/>
      <c r="C84" s="43">
        <v>0</v>
      </c>
      <c r="D84" s="180">
        <v>0</v>
      </c>
      <c r="E84" s="180">
        <v>0</v>
      </c>
      <c r="F84" s="181"/>
      <c r="G84" s="162">
        <f>#N/A</f>
        <v>0</v>
      </c>
      <c r="H84" s="164"/>
      <c r="I84" s="167">
        <f>#N/A</f>
        <v>0</v>
      </c>
      <c r="J84" s="167"/>
      <c r="K84" s="167">
        <v>0</v>
      </c>
      <c r="L84" s="167">
        <f>#N/A</f>
        <v>0</v>
      </c>
      <c r="M84" s="167"/>
      <c r="N84" s="164">
        <f>E84-'січень 17'!E84</f>
        <v>0</v>
      </c>
      <c r="O84" s="168">
        <f>F84-'січень 17'!F84</f>
        <v>0</v>
      </c>
      <c r="P84" s="167">
        <f>#N/A</f>
        <v>0</v>
      </c>
      <c r="Q84" s="167"/>
      <c r="R84" s="38"/>
      <c r="S84" s="97"/>
      <c r="T84" s="147">
        <f>#N/A</f>
        <v>0</v>
      </c>
    </row>
    <row r="85" spans="2:20" ht="23.25" customHeight="1">
      <c r="B85" s="14" t="s">
        <v>31</v>
      </c>
      <c r="C85" s="66"/>
      <c r="D85" s="191">
        <f>D71+D72+D77+D82+D83</f>
        <v>245656.03</v>
      </c>
      <c r="E85" s="191">
        <f>E71+E72+E77+E82+E83</f>
        <v>4386.9</v>
      </c>
      <c r="F85" s="191">
        <f>F71+F72+F77+F82+F83</f>
        <v>3406.67</v>
      </c>
      <c r="G85" s="192">
        <f>F85-E85</f>
        <v>-980.2299999999996</v>
      </c>
      <c r="H85" s="193">
        <f>F85/E85*100</f>
        <v>77.65551984316944</v>
      </c>
      <c r="I85" s="194">
        <f>F85-D85</f>
        <v>-242249.36</v>
      </c>
      <c r="J85" s="194">
        <f>F85/D85*100</f>
        <v>1.386764249182078</v>
      </c>
      <c r="K85" s="194">
        <v>3039.87</v>
      </c>
      <c r="L85" s="194">
        <f>F85-K85</f>
        <v>366.8000000000002</v>
      </c>
      <c r="M85" s="221">
        <f>#N/A</f>
        <v>1.120663054670101</v>
      </c>
      <c r="N85" s="191">
        <f>N71+N72+N77+N82+N83</f>
        <v>3376</v>
      </c>
      <c r="O85" s="191">
        <f>O71+O72+O77+O82+O83</f>
        <v>3289.629999999999</v>
      </c>
      <c r="P85" s="194">
        <f>#N/A</f>
        <v>-86.3700000000008</v>
      </c>
      <c r="Q85" s="194">
        <f>O85/N85*100</f>
        <v>97.44164691943126</v>
      </c>
      <c r="R85" s="27">
        <f>O85-8104.96</f>
        <v>-4815.330000000001</v>
      </c>
      <c r="S85" s="95">
        <f>O85/8104.96</f>
        <v>0.40587862247315215</v>
      </c>
      <c r="T85" s="147">
        <f>#N/A</f>
        <v>241269.13</v>
      </c>
    </row>
    <row r="86" spans="2:20" ht="17.25">
      <c r="B86" s="21" t="s">
        <v>32</v>
      </c>
      <c r="C86" s="66"/>
      <c r="D86" s="191">
        <f>D64+D85</f>
        <v>1603147.1300000001</v>
      </c>
      <c r="E86" s="191">
        <f>E64+E85</f>
        <v>208409</v>
      </c>
      <c r="F86" s="191">
        <f>F64+F85</f>
        <v>206933.04000000007</v>
      </c>
      <c r="G86" s="192">
        <f>F86-E86</f>
        <v>-1475.9599999999336</v>
      </c>
      <c r="H86" s="193">
        <f>F86/E86*100</f>
        <v>99.29179641954046</v>
      </c>
      <c r="I86" s="194">
        <f>F86-D86</f>
        <v>-1396214.09</v>
      </c>
      <c r="J86" s="194">
        <f>F86/D86*100</f>
        <v>12.907925674919184</v>
      </c>
      <c r="K86" s="194">
        <f>K64+K85</f>
        <v>148383.13</v>
      </c>
      <c r="L86" s="194">
        <f>F86-K86</f>
        <v>58549.91000000006</v>
      </c>
      <c r="M86" s="221">
        <f>#N/A</f>
        <v>1.3945860287486864</v>
      </c>
      <c r="N86" s="192">
        <f>N64+N85</f>
        <v>110041.6</v>
      </c>
      <c r="O86" s="192">
        <f>O64+O85</f>
        <v>108729.81</v>
      </c>
      <c r="P86" s="194">
        <f>#N/A</f>
        <v>-1311.7900000000081</v>
      </c>
      <c r="Q86" s="194">
        <f>O86/N86*100</f>
        <v>98.80791446144002</v>
      </c>
      <c r="R86" s="27">
        <f>O86-42872.96</f>
        <v>65856.85</v>
      </c>
      <c r="S86" s="95">
        <f>O86/42872.96</f>
        <v>2.536092912642374</v>
      </c>
      <c r="T86" s="147">
        <f>#N/A</f>
        <v>1394738.1300000001</v>
      </c>
    </row>
    <row r="87" spans="2:20" ht="15">
      <c r="B87" s="20" t="s">
        <v>34</v>
      </c>
      <c r="O87" s="25"/>
      <c r="T87" s="147">
        <f>#N/A</f>
        <v>0</v>
      </c>
    </row>
    <row r="88" spans="2:20" ht="15">
      <c r="B88" s="4" t="s">
        <v>36</v>
      </c>
      <c r="C88" s="76">
        <v>0</v>
      </c>
      <c r="D88" s="4" t="s">
        <v>35</v>
      </c>
      <c r="O88" s="78"/>
      <c r="T88" s="147" t="e">
        <f>#N/A</f>
        <v>#VALUE!</v>
      </c>
    </row>
    <row r="89" spans="2:20" ht="30.75">
      <c r="B89" s="52" t="s">
        <v>53</v>
      </c>
      <c r="C89" s="29" t="e">
        <f>IF(P64&lt;0,ABS(P64/C88),0)</f>
        <v>#DIV/0!</v>
      </c>
      <c r="D89" s="4" t="s">
        <v>24</v>
      </c>
      <c r="G89" s="424"/>
      <c r="H89" s="424"/>
      <c r="I89" s="424"/>
      <c r="J89" s="424"/>
      <c r="K89" s="84"/>
      <c r="L89" s="84"/>
      <c r="M89" s="84"/>
      <c r="Q89" s="25"/>
      <c r="R89" s="25"/>
      <c r="T89" s="147" t="e">
        <f>#N/A</f>
        <v>#VALUE!</v>
      </c>
    </row>
    <row r="90" spans="2:20" ht="34.5" customHeight="1">
      <c r="B90" s="53" t="s">
        <v>55</v>
      </c>
      <c r="C90" s="81">
        <v>42794</v>
      </c>
      <c r="D90" s="29">
        <v>11703.5</v>
      </c>
      <c r="G90" s="4" t="s">
        <v>58</v>
      </c>
      <c r="O90" s="430"/>
      <c r="P90" s="430"/>
      <c r="T90" s="147">
        <f>#N/A</f>
        <v>11703.5</v>
      </c>
    </row>
    <row r="91" spans="3:16" ht="15">
      <c r="C91" s="81">
        <v>42793</v>
      </c>
      <c r="D91" s="29">
        <v>10341.3</v>
      </c>
      <c r="F91" s="113" t="s">
        <v>58</v>
      </c>
      <c r="G91" s="427"/>
      <c r="H91" s="427"/>
      <c r="I91" s="118"/>
      <c r="J91" s="436"/>
      <c r="K91" s="436"/>
      <c r="L91" s="436"/>
      <c r="M91" s="436"/>
      <c r="N91" s="436"/>
      <c r="O91" s="430"/>
      <c r="P91" s="430"/>
    </row>
    <row r="92" spans="3:16" ht="15.75" customHeight="1">
      <c r="C92" s="81">
        <v>42790</v>
      </c>
      <c r="D92" s="29">
        <v>4206.9</v>
      </c>
      <c r="F92" s="68"/>
      <c r="G92" s="427"/>
      <c r="H92" s="427"/>
      <c r="I92" s="118"/>
      <c r="J92" s="437"/>
      <c r="K92" s="437"/>
      <c r="L92" s="437"/>
      <c r="M92" s="437"/>
      <c r="N92" s="437"/>
      <c r="O92" s="430"/>
      <c r="P92" s="430"/>
    </row>
    <row r="93" spans="3:14" ht="15.75" customHeight="1">
      <c r="C93" s="81"/>
      <c r="F93" s="68"/>
      <c r="G93" s="421"/>
      <c r="H93" s="421"/>
      <c r="I93" s="124"/>
      <c r="J93" s="436"/>
      <c r="K93" s="436"/>
      <c r="L93" s="436"/>
      <c r="M93" s="436"/>
      <c r="N93" s="436"/>
    </row>
    <row r="94" spans="2:14" ht="18.75" customHeight="1">
      <c r="B94" s="425" t="s">
        <v>56</v>
      </c>
      <c r="C94" s="426"/>
      <c r="D94" s="133">
        <v>7713.34596</v>
      </c>
      <c r="E94" s="69"/>
      <c r="F94" s="125" t="s">
        <v>107</v>
      </c>
      <c r="G94" s="427"/>
      <c r="H94" s="427"/>
      <c r="I94" s="126"/>
      <c r="J94" s="436"/>
      <c r="K94" s="436"/>
      <c r="L94" s="436"/>
      <c r="M94" s="436"/>
      <c r="N94" s="436"/>
    </row>
    <row r="95" spans="6:13" ht="9.75" customHeight="1">
      <c r="F95" s="68"/>
      <c r="G95" s="427"/>
      <c r="H95" s="427"/>
      <c r="I95" s="68"/>
      <c r="J95" s="69"/>
      <c r="K95" s="69"/>
      <c r="L95" s="69"/>
      <c r="M95" s="69"/>
    </row>
    <row r="96" spans="2:13" ht="22.5" customHeight="1" hidden="1">
      <c r="B96" s="428" t="s">
        <v>59</v>
      </c>
      <c r="C96" s="429"/>
      <c r="D96" s="80">
        <v>0</v>
      </c>
      <c r="E96" s="51" t="s">
        <v>24</v>
      </c>
      <c r="F96" s="68"/>
      <c r="G96" s="427"/>
      <c r="H96" s="427"/>
      <c r="I96" s="68"/>
      <c r="J96" s="69"/>
      <c r="K96" s="69"/>
      <c r="L96" s="69"/>
      <c r="M96" s="69"/>
    </row>
    <row r="97" spans="4:16" ht="15" hidden="1">
      <c r="D97" s="68">
        <f>D45+D48+D49</f>
        <v>1060</v>
      </c>
      <c r="E97" s="68">
        <f>E45+E48+E49</f>
        <v>172</v>
      </c>
      <c r="F97" s="203">
        <f>F45+F48+F49</f>
        <v>282.83</v>
      </c>
      <c r="G97" s="68">
        <f>G45+G48+G49</f>
        <v>110.82999999999998</v>
      </c>
      <c r="H97" s="69"/>
      <c r="I97" s="69"/>
      <c r="N97" s="29">
        <f>N45+N48+N49</f>
        <v>86</v>
      </c>
      <c r="O97" s="202">
        <f>O45+O48+O49</f>
        <v>148.84999999999997</v>
      </c>
      <c r="P97" s="29">
        <f>P45+P48+P49</f>
        <v>62.84999999999998</v>
      </c>
    </row>
    <row r="98" spans="4:16" ht="15" hidden="1">
      <c r="D98" s="78"/>
      <c r="I98" s="29"/>
      <c r="O98" s="420"/>
      <c r="P98" s="420"/>
    </row>
    <row r="99" spans="2:17" ht="15" hidden="1">
      <c r="B99" s="4" t="s">
        <v>119</v>
      </c>
      <c r="D99" s="29">
        <f>D9+D15+D17+D18+D19+D20+D39+D42+D56+D62+D63</f>
        <v>1299048.6</v>
      </c>
      <c r="E99" s="29">
        <f>E9+E15+E17+E18+E19+E20+E39+E42+E56+E62+E63</f>
        <v>196330.5</v>
      </c>
      <c r="F99" s="229">
        <f>F9+F15+F17+F18+F19+F20+F39+F42+F56+F62+F63</f>
        <v>194847.62000000005</v>
      </c>
      <c r="G99" s="29">
        <f>F99-E99</f>
        <v>-1482.8799999999464</v>
      </c>
      <c r="H99" s="230">
        <f>F99/E99</f>
        <v>0.9924470217312137</v>
      </c>
      <c r="I99" s="29">
        <f>F99-D99</f>
        <v>-1104200.98</v>
      </c>
      <c r="J99" s="230">
        <f>F99/D99</f>
        <v>0.14999255609066514</v>
      </c>
      <c r="N99" s="29">
        <f>N9+N15+N17+N18+N19+N20+N39+N42+N44+N56+N62+N63</f>
        <v>101968.6</v>
      </c>
      <c r="O99" s="229">
        <f>O9+O15+O17+O18+O19+O20+O39+O42+O44+O56+O62+O63</f>
        <v>100979.31</v>
      </c>
      <c r="P99" s="29">
        <f>O99-N99</f>
        <v>-989.2900000000081</v>
      </c>
      <c r="Q99" s="230">
        <f>O99/N99</f>
        <v>0.9902980917655042</v>
      </c>
    </row>
    <row r="100" spans="2:17" ht="15" hidden="1">
      <c r="B100" s="4" t="s">
        <v>120</v>
      </c>
      <c r="D100" s="29">
        <f>D40+D41+D43+D45+D47+D48+D49+D50+D51+D57+D61+D44</f>
        <v>58442.5</v>
      </c>
      <c r="E100" s="29">
        <f>E40+E41+E43+E45+E47+E48+E49+E50+E51+E57+E61+E44</f>
        <v>7691.6</v>
      </c>
      <c r="F100" s="229">
        <f>F40+F41+F43+F45+F47+F48+F49+F50+F51+F57+F61+F44</f>
        <v>8678.749999999998</v>
      </c>
      <c r="G100" s="29">
        <f>G40+G41+G43+G45+G47+G48+G49+G50+G51+G57+G61+G44</f>
        <v>987.1499999999996</v>
      </c>
      <c r="H100" s="230">
        <f>F100/E100</f>
        <v>1.1283413074002806</v>
      </c>
      <c r="I100" s="29">
        <f>I40+I41+I43+I45+I47+I48+I49+I50+I51+I57+I61+I44</f>
        <v>-49763.74999999999</v>
      </c>
      <c r="J100" s="230">
        <f>F100/D100</f>
        <v>0.14850066304487314</v>
      </c>
      <c r="K100" s="29">
        <f>#N/A</f>
        <v>4835.679999999999</v>
      </c>
      <c r="L100" s="29">
        <f>#N/A</f>
        <v>3843.0699999999997</v>
      </c>
      <c r="M100" s="29">
        <f>#N/A</f>
        <v>32.174115396616955</v>
      </c>
      <c r="N100" s="29">
        <f>#N/A</f>
        <v>4703.8</v>
      </c>
      <c r="O100" s="229">
        <f>#N/A</f>
        <v>4460.869999999999</v>
      </c>
      <c r="P100" s="29">
        <f>#N/A</f>
        <v>-236.13000000000017</v>
      </c>
      <c r="Q100" s="230">
        <f>O100/N100</f>
        <v>0.9483545218759298</v>
      </c>
    </row>
    <row r="101" spans="2:17" ht="15" hidden="1">
      <c r="B101" s="4" t="s">
        <v>121</v>
      </c>
      <c r="D101" s="29">
        <f>SUM(D99:D100)</f>
        <v>1357491.1</v>
      </c>
      <c r="E101" s="29">
        <f>#N/A</f>
        <v>204022.1</v>
      </c>
      <c r="F101" s="229">
        <f>#N/A</f>
        <v>203526.37000000005</v>
      </c>
      <c r="G101" s="29">
        <f>#N/A</f>
        <v>-495.7299999999468</v>
      </c>
      <c r="H101" s="230">
        <f>F101/E101</f>
        <v>0.9975702142071866</v>
      </c>
      <c r="I101" s="29">
        <f>#N/A</f>
        <v>-1153964.73</v>
      </c>
      <c r="J101" s="230">
        <f>F101/D101</f>
        <v>0.14992832733857336</v>
      </c>
      <c r="K101" s="29">
        <f>#N/A</f>
        <v>4835.679999999999</v>
      </c>
      <c r="L101" s="29">
        <f>#N/A</f>
        <v>3843.0699999999997</v>
      </c>
      <c r="M101" s="29">
        <f>#N/A</f>
        <v>32.174115396616955</v>
      </c>
      <c r="N101" s="29">
        <f>#N/A</f>
        <v>106672.40000000001</v>
      </c>
      <c r="O101" s="229">
        <f>#N/A</f>
        <v>105440.18</v>
      </c>
      <c r="P101" s="29">
        <f>#N/A</f>
        <v>-1225.4200000000083</v>
      </c>
      <c r="Q101" s="230">
        <f>O101/N101</f>
        <v>0.9884485583899864</v>
      </c>
    </row>
    <row r="102" spans="4:21" ht="15" hidden="1">
      <c r="D102" s="29">
        <f>D64-D101</f>
        <v>0</v>
      </c>
      <c r="E102" s="29">
        <f>#N/A</f>
        <v>0</v>
      </c>
      <c r="F102" s="29">
        <f>#N/A</f>
        <v>0</v>
      </c>
      <c r="G102" s="29">
        <f>#N/A</f>
        <v>-5.4569682106375694E-12</v>
      </c>
      <c r="H102" s="230"/>
      <c r="I102" s="29">
        <f>#N/A</f>
        <v>0</v>
      </c>
      <c r="J102" s="230"/>
      <c r="K102" s="29">
        <f>#N/A</f>
        <v>140507.58000000002</v>
      </c>
      <c r="L102" s="29">
        <f>#N/A</f>
        <v>54340.040000000045</v>
      </c>
      <c r="M102" s="29">
        <f>#N/A</f>
        <v>-30.77380023924399</v>
      </c>
      <c r="N102" s="29">
        <f>#N/A</f>
        <v>-6.80000000000291</v>
      </c>
      <c r="O102" s="29">
        <f>#N/A</f>
        <v>0</v>
      </c>
      <c r="P102" s="29">
        <f>#N/A</f>
        <v>-4.547473508864641E-12</v>
      </c>
      <c r="Q102" s="29"/>
      <c r="R102" s="29">
        <f>#N/A</f>
        <v>70672.18</v>
      </c>
      <c r="S102" s="29">
        <f>#N/A</f>
        <v>3.0326789001380576</v>
      </c>
      <c r="T102" s="29">
        <f>#N/A</f>
        <v>1153469</v>
      </c>
      <c r="U102" s="29">
        <f>#N/A</f>
        <v>0</v>
      </c>
    </row>
    <row r="103" ht="15">
      <c r="E103" s="4" t="s">
        <v>58</v>
      </c>
    </row>
  </sheetData>
  <sheetProtection/>
  <mergeCells count="37">
    <mergeCell ref="B96:C96"/>
    <mergeCell ref="G96:H96"/>
    <mergeCell ref="O98:P98"/>
    <mergeCell ref="G93:H93"/>
    <mergeCell ref="J93:N93"/>
    <mergeCell ref="B94:C94"/>
    <mergeCell ref="G94:H94"/>
    <mergeCell ref="J94:N94"/>
    <mergeCell ref="G95:H95"/>
    <mergeCell ref="G91:H91"/>
    <mergeCell ref="J91:N91"/>
    <mergeCell ref="O91:P91"/>
    <mergeCell ref="G92:H92"/>
    <mergeCell ref="J92:N92"/>
    <mergeCell ref="O92:P92"/>
    <mergeCell ref="P4:P5"/>
    <mergeCell ref="Q4:Q5"/>
    <mergeCell ref="K5:M5"/>
    <mergeCell ref="R5:S5"/>
    <mergeCell ref="G89:J89"/>
    <mergeCell ref="O90:P90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" right="0" top="0.15748031496062992" bottom="0.15748031496062992" header="0" footer="0"/>
  <pageSetup fitToHeight="1" fitToWidth="1" orientation="portrait" paperSize="9" scale="4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6"/>
  <sheetViews>
    <sheetView zoomScale="81" zoomScaleNormal="81" zoomScalePageLayoutView="0" workbookViewId="0" topLeftCell="B1">
      <pane xSplit="2" ySplit="8" topLeftCell="D93" activePane="bottomRight" state="frozen"/>
      <selection pane="topLeft" activeCell="B1" sqref="B1"/>
      <selection pane="topRight" activeCell="D1" sqref="D1"/>
      <selection pane="bottomLeft" activeCell="B9" sqref="B9"/>
      <selection pane="bottomRight" activeCell="E107" sqref="E107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hidden="1" customWidth="1"/>
    <col min="15" max="15" width="12.25390625" style="4" hidden="1" customWidth="1"/>
    <col min="16" max="16" width="12.625" style="4" hidden="1" customWidth="1"/>
    <col min="17" max="18" width="11.00390625" style="4" hidden="1" customWidth="1"/>
    <col min="19" max="19" width="11.00390625" style="89" hidden="1" customWidth="1"/>
    <col min="20" max="20" width="9.125" style="4" hidden="1" customWidth="1"/>
    <col min="21" max="21" width="11.50390625" style="4" customWidth="1"/>
    <col min="22" max="16384" width="9.125" style="4" customWidth="1"/>
  </cols>
  <sheetData>
    <row r="1" spans="1:19" s="1" customFormat="1" ht="26.25" customHeight="1">
      <c r="A1" s="396" t="s">
        <v>143</v>
      </c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  <c r="M1" s="396"/>
      <c r="N1" s="396"/>
      <c r="O1" s="396"/>
      <c r="P1" s="396"/>
      <c r="Q1" s="396"/>
      <c r="R1" s="86"/>
      <c r="S1" s="87"/>
    </row>
    <row r="2" spans="2:19" s="1" customFormat="1" ht="15.75" customHeight="1">
      <c r="B2" s="397"/>
      <c r="C2" s="397"/>
      <c r="D2" s="397"/>
      <c r="E2" s="2"/>
      <c r="F2" s="112"/>
      <c r="G2" s="2"/>
      <c r="H2" s="2"/>
      <c r="I2" s="1" t="s">
        <v>140</v>
      </c>
      <c r="M2" s="1" t="s">
        <v>24</v>
      </c>
      <c r="Q2" s="17" t="s">
        <v>24</v>
      </c>
      <c r="R2" s="17"/>
      <c r="S2" s="88"/>
    </row>
    <row r="3" spans="1:19" s="3" customFormat="1" ht="13.5" customHeight="1">
      <c r="A3" s="398"/>
      <c r="B3" s="400"/>
      <c r="C3" s="401" t="s">
        <v>0</v>
      </c>
      <c r="D3" s="402" t="s">
        <v>134</v>
      </c>
      <c r="E3" s="32"/>
      <c r="F3" s="403" t="s">
        <v>26</v>
      </c>
      <c r="G3" s="404"/>
      <c r="H3" s="404"/>
      <c r="I3" s="404"/>
      <c r="J3" s="405"/>
      <c r="K3" s="83"/>
      <c r="L3" s="83"/>
      <c r="M3" s="83"/>
      <c r="N3" s="406" t="s">
        <v>123</v>
      </c>
      <c r="O3" s="409" t="s">
        <v>118</v>
      </c>
      <c r="P3" s="409"/>
      <c r="Q3" s="409"/>
      <c r="R3" s="409"/>
      <c r="S3" s="409"/>
    </row>
    <row r="4" spans="1:19" ht="22.5" customHeight="1">
      <c r="A4" s="398"/>
      <c r="B4" s="400"/>
      <c r="C4" s="401"/>
      <c r="D4" s="402"/>
      <c r="E4" s="392" t="s">
        <v>135</v>
      </c>
      <c r="F4" s="422" t="s">
        <v>33</v>
      </c>
      <c r="G4" s="410" t="s">
        <v>136</v>
      </c>
      <c r="H4" s="407" t="s">
        <v>137</v>
      </c>
      <c r="I4" s="410" t="s">
        <v>138</v>
      </c>
      <c r="J4" s="407" t="s">
        <v>139</v>
      </c>
      <c r="K4" s="85" t="s">
        <v>141</v>
      </c>
      <c r="L4" s="204" t="s">
        <v>113</v>
      </c>
      <c r="M4" s="90" t="s">
        <v>63</v>
      </c>
      <c r="N4" s="407"/>
      <c r="O4" s="394" t="s">
        <v>124</v>
      </c>
      <c r="P4" s="410" t="s">
        <v>49</v>
      </c>
      <c r="Q4" s="412" t="s">
        <v>48</v>
      </c>
      <c r="R4" s="91" t="s">
        <v>64</v>
      </c>
      <c r="S4" s="92" t="s">
        <v>63</v>
      </c>
    </row>
    <row r="5" spans="1:19" ht="67.5" customHeight="1">
      <c r="A5" s="399"/>
      <c r="B5" s="400"/>
      <c r="C5" s="401"/>
      <c r="D5" s="402"/>
      <c r="E5" s="393"/>
      <c r="F5" s="423"/>
      <c r="G5" s="411"/>
      <c r="H5" s="408"/>
      <c r="I5" s="411"/>
      <c r="J5" s="408"/>
      <c r="K5" s="413" t="s">
        <v>142</v>
      </c>
      <c r="L5" s="414"/>
      <c r="M5" s="415"/>
      <c r="N5" s="408"/>
      <c r="O5" s="395"/>
      <c r="P5" s="411"/>
      <c r="Q5" s="412"/>
      <c r="R5" s="413" t="s">
        <v>102</v>
      </c>
      <c r="S5" s="415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10">
        <v>17</v>
      </c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93"/>
    </row>
    <row r="8" spans="1:19" s="6" customFormat="1" ht="17.25">
      <c r="A8" s="7"/>
      <c r="B8" s="154" t="s">
        <v>9</v>
      </c>
      <c r="C8" s="70" t="s">
        <v>10</v>
      </c>
      <c r="D8" s="151">
        <f>D9+D15+D18+D19+D20+D37+D17</f>
        <v>1298451.1</v>
      </c>
      <c r="E8" s="151">
        <f>E9+E15+E18+E19+E20+E37+E17</f>
        <v>94367.5</v>
      </c>
      <c r="F8" s="151">
        <f>F9+F15+F18+F19+F20+F37+F17</f>
        <v>93856.97</v>
      </c>
      <c r="G8" s="151">
        <f>#N/A</f>
        <v>-510.52999999999884</v>
      </c>
      <c r="H8" s="152">
        <f>F8/E8*100</f>
        <v>99.45899806607147</v>
      </c>
      <c r="I8" s="153">
        <f>F8-D8</f>
        <v>-1204594.1300000001</v>
      </c>
      <c r="J8" s="153">
        <f>F8/D8*100</f>
        <v>7.228379258949374</v>
      </c>
      <c r="K8" s="151">
        <v>60580.63</v>
      </c>
      <c r="L8" s="151">
        <f>#N/A</f>
        <v>33276.340000000004</v>
      </c>
      <c r="M8" s="205">
        <f>#N/A</f>
        <v>1.5492900948702581</v>
      </c>
      <c r="N8" s="151" t="e">
        <f>N9+N15+N18+N19+N20+N17</f>
        <v>#REF!</v>
      </c>
      <c r="O8" s="151" t="e">
        <f>O9+O15+O18+O19+O20+O17</f>
        <v>#REF!</v>
      </c>
      <c r="P8" s="151" t="e">
        <f>O8-N8</f>
        <v>#REF!</v>
      </c>
      <c r="Q8" s="151" t="e">
        <f>O8/N8*100</f>
        <v>#REF!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79</v>
      </c>
      <c r="C9" s="43">
        <v>11010000</v>
      </c>
      <c r="D9" s="150">
        <v>766645</v>
      </c>
      <c r="E9" s="150">
        <v>47700</v>
      </c>
      <c r="F9" s="156">
        <v>46924.93</v>
      </c>
      <c r="G9" s="150">
        <f>#N/A</f>
        <v>-775.0699999999997</v>
      </c>
      <c r="H9" s="157">
        <f>F9/E9*100</f>
        <v>98.37511530398324</v>
      </c>
      <c r="I9" s="158">
        <f>F9-D9</f>
        <v>-719720.07</v>
      </c>
      <c r="J9" s="158">
        <f>F9/D9*100</f>
        <v>6.120816023061521</v>
      </c>
      <c r="K9" s="227">
        <v>30213.27</v>
      </c>
      <c r="L9" s="159">
        <f>#N/A</f>
        <v>16711.66</v>
      </c>
      <c r="M9" s="206">
        <f>#N/A</f>
        <v>1.5531231806421484</v>
      </c>
      <c r="N9" s="157" t="e">
        <f>E9-#REF!</f>
        <v>#REF!</v>
      </c>
      <c r="O9" s="160" t="e">
        <f>F9-#REF!</f>
        <v>#REF!</v>
      </c>
      <c r="P9" s="161" t="e">
        <f>O9-N9</f>
        <v>#REF!</v>
      </c>
      <c r="Q9" s="158" t="e">
        <f>O9/N9*100</f>
        <v>#REF!</v>
      </c>
      <c r="R9" s="100"/>
      <c r="S9" s="101"/>
      <c r="T9" s="147">
        <f>D9-E9</f>
        <v>718945</v>
      </c>
    </row>
    <row r="10" spans="1:20" s="6" customFormat="1" ht="18" hidden="1">
      <c r="A10" s="8"/>
      <c r="B10" s="121" t="s">
        <v>89</v>
      </c>
      <c r="C10" s="102">
        <v>11010100</v>
      </c>
      <c r="D10" s="103">
        <v>701317</v>
      </c>
      <c r="E10" s="103">
        <v>43284</v>
      </c>
      <c r="F10" s="140">
        <v>43142.93</v>
      </c>
      <c r="G10" s="103">
        <f>#N/A</f>
        <v>-141.0699999999997</v>
      </c>
      <c r="H10" s="30">
        <f>#N/A</f>
        <v>99.67408280195914</v>
      </c>
      <c r="I10" s="104">
        <f>#N/A</f>
        <v>-658174.07</v>
      </c>
      <c r="J10" s="104">
        <f>#N/A</f>
        <v>6.15170172689383</v>
      </c>
      <c r="K10" s="106">
        <v>26883.84</v>
      </c>
      <c r="L10" s="106">
        <f>#N/A</f>
        <v>16259.09</v>
      </c>
      <c r="M10" s="207">
        <f>#N/A</f>
        <v>1.604790461481693</v>
      </c>
      <c r="N10" s="105" t="e">
        <f>E10-#REF!</f>
        <v>#REF!</v>
      </c>
      <c r="O10" s="144" t="e">
        <f>F10-#REF!</f>
        <v>#REF!</v>
      </c>
      <c r="P10" s="106" t="e">
        <f>#N/A</f>
        <v>#REF!</v>
      </c>
      <c r="Q10" s="158" t="e">
        <f>#N/A</f>
        <v>#REF!</v>
      </c>
      <c r="R10" s="37"/>
      <c r="S10" s="94"/>
      <c r="T10" s="147">
        <f>#N/A</f>
        <v>658033</v>
      </c>
    </row>
    <row r="11" spans="1:20" s="6" customFormat="1" ht="18" hidden="1">
      <c r="A11" s="8"/>
      <c r="B11" s="121" t="s">
        <v>85</v>
      </c>
      <c r="C11" s="102">
        <v>11010200</v>
      </c>
      <c r="D11" s="103">
        <v>46506</v>
      </c>
      <c r="E11" s="103">
        <v>3600</v>
      </c>
      <c r="F11" s="140">
        <v>2681.7</v>
      </c>
      <c r="G11" s="103">
        <f>#N/A</f>
        <v>-918.3000000000002</v>
      </c>
      <c r="H11" s="30">
        <f>#N/A</f>
        <v>74.49166666666667</v>
      </c>
      <c r="I11" s="104">
        <f>#N/A</f>
        <v>-43824.3</v>
      </c>
      <c r="J11" s="104">
        <f>#N/A</f>
        <v>5.76635272868017</v>
      </c>
      <c r="K11" s="106">
        <v>2684.94</v>
      </c>
      <c r="L11" s="106">
        <f>#N/A</f>
        <v>-3.2400000000002365</v>
      </c>
      <c r="M11" s="207">
        <f>#N/A</f>
        <v>0.9987932691233323</v>
      </c>
      <c r="N11" s="105" t="e">
        <f>E11-#REF!</f>
        <v>#REF!</v>
      </c>
      <c r="O11" s="144" t="e">
        <f>F11-#REF!</f>
        <v>#REF!</v>
      </c>
      <c r="P11" s="106" t="e">
        <f>#N/A</f>
        <v>#REF!</v>
      </c>
      <c r="Q11" s="158" t="e">
        <f>#N/A</f>
        <v>#REF!</v>
      </c>
      <c r="R11" s="37"/>
      <c r="S11" s="94"/>
      <c r="T11" s="147">
        <f>#N/A</f>
        <v>42906</v>
      </c>
    </row>
    <row r="12" spans="1:20" s="6" customFormat="1" ht="18" hidden="1">
      <c r="A12" s="8"/>
      <c r="B12" s="121" t="s">
        <v>88</v>
      </c>
      <c r="C12" s="102">
        <v>11010400</v>
      </c>
      <c r="D12" s="103">
        <v>8280</v>
      </c>
      <c r="E12" s="103">
        <v>420</v>
      </c>
      <c r="F12" s="140">
        <v>500.43</v>
      </c>
      <c r="G12" s="103">
        <f>#N/A</f>
        <v>80.43</v>
      </c>
      <c r="H12" s="30">
        <f>#N/A</f>
        <v>119.15</v>
      </c>
      <c r="I12" s="104">
        <f>#N/A</f>
        <v>-7779.57</v>
      </c>
      <c r="J12" s="104">
        <f>#N/A</f>
        <v>6.043840579710145</v>
      </c>
      <c r="K12" s="106">
        <v>433.61</v>
      </c>
      <c r="L12" s="106">
        <f>#N/A</f>
        <v>66.82</v>
      </c>
      <c r="M12" s="207">
        <f>#N/A</f>
        <v>1.1541016120476926</v>
      </c>
      <c r="N12" s="105" t="e">
        <f>E12-#REF!</f>
        <v>#REF!</v>
      </c>
      <c r="O12" s="144" t="e">
        <f>F12-#REF!</f>
        <v>#REF!</v>
      </c>
      <c r="P12" s="106" t="e">
        <f>#N/A</f>
        <v>#REF!</v>
      </c>
      <c r="Q12" s="158" t="e">
        <f>#N/A</f>
        <v>#REF!</v>
      </c>
      <c r="R12" s="37"/>
      <c r="S12" s="94"/>
      <c r="T12" s="147">
        <f>#N/A</f>
        <v>7860</v>
      </c>
    </row>
    <row r="13" spans="1:20" s="6" customFormat="1" ht="18" hidden="1">
      <c r="A13" s="8"/>
      <c r="B13" s="121" t="s">
        <v>86</v>
      </c>
      <c r="C13" s="102">
        <v>11010500</v>
      </c>
      <c r="D13" s="103">
        <v>9390</v>
      </c>
      <c r="E13" s="103">
        <v>300</v>
      </c>
      <c r="F13" s="140">
        <v>499.36</v>
      </c>
      <c r="G13" s="103">
        <f>#N/A</f>
        <v>199.36</v>
      </c>
      <c r="H13" s="30">
        <f>#N/A</f>
        <v>166.45333333333335</v>
      </c>
      <c r="I13" s="104">
        <f>#N/A</f>
        <v>-8890.64</v>
      </c>
      <c r="J13" s="104">
        <f>#N/A</f>
        <v>5.317997870074548</v>
      </c>
      <c r="K13" s="106">
        <v>209.84</v>
      </c>
      <c r="L13" s="106">
        <f>#N/A</f>
        <v>289.52</v>
      </c>
      <c r="M13" s="207">
        <f>#N/A</f>
        <v>2.3797178802897445</v>
      </c>
      <c r="N13" s="105" t="e">
        <f>E13-#REF!</f>
        <v>#REF!</v>
      </c>
      <c r="O13" s="144" t="e">
        <f>F13-#REF!</f>
        <v>#REF!</v>
      </c>
      <c r="P13" s="106" t="e">
        <f>#N/A</f>
        <v>#REF!</v>
      </c>
      <c r="Q13" s="158" t="e">
        <f>#N/A</f>
        <v>#REF!</v>
      </c>
      <c r="R13" s="37"/>
      <c r="S13" s="94"/>
      <c r="T13" s="147">
        <f>#N/A</f>
        <v>9090</v>
      </c>
    </row>
    <row r="14" spans="1:22" s="6" customFormat="1" ht="18" hidden="1">
      <c r="A14" s="8"/>
      <c r="B14" s="121" t="s">
        <v>87</v>
      </c>
      <c r="C14" s="102">
        <v>11010900</v>
      </c>
      <c r="D14" s="103">
        <v>1152</v>
      </c>
      <c r="E14" s="103">
        <v>96</v>
      </c>
      <c r="F14" s="140">
        <v>100.5</v>
      </c>
      <c r="G14" s="103">
        <f>#N/A</f>
        <v>4.5</v>
      </c>
      <c r="H14" s="30">
        <f>#N/A</f>
        <v>104.6875</v>
      </c>
      <c r="I14" s="104">
        <f>#N/A</f>
        <v>-1051.5</v>
      </c>
      <c r="J14" s="104">
        <f>#N/A</f>
        <v>8.723958333333332</v>
      </c>
      <c r="K14" s="106">
        <v>1.04</v>
      </c>
      <c r="L14" s="106">
        <f>#N/A</f>
        <v>99.46</v>
      </c>
      <c r="M14" s="207">
        <f>#N/A</f>
        <v>96.63461538461539</v>
      </c>
      <c r="N14" s="105" t="e">
        <f>E14-#REF!</f>
        <v>#REF!</v>
      </c>
      <c r="O14" s="144" t="e">
        <f>F14-#REF!</f>
        <v>#REF!</v>
      </c>
      <c r="P14" s="106" t="e">
        <f>#N/A</f>
        <v>#REF!</v>
      </c>
      <c r="Q14" s="158" t="e">
        <f>#N/A</f>
        <v>#REF!</v>
      </c>
      <c r="R14" s="37"/>
      <c r="S14" s="94"/>
      <c r="T14" s="147">
        <f>#N/A</f>
        <v>1056</v>
      </c>
      <c r="U14" s="224">
        <v>2880</v>
      </c>
      <c r="V14" s="147">
        <f>U14-T14</f>
        <v>1824</v>
      </c>
    </row>
    <row r="15" spans="1:20" s="6" customFormat="1" ht="30.75">
      <c r="A15" s="8"/>
      <c r="B15" s="12" t="s">
        <v>11</v>
      </c>
      <c r="C15" s="43">
        <v>11020200</v>
      </c>
      <c r="D15" s="150">
        <v>551</v>
      </c>
      <c r="E15" s="150">
        <v>0</v>
      </c>
      <c r="F15" s="156">
        <v>0</v>
      </c>
      <c r="G15" s="150">
        <f>#N/A</f>
        <v>0</v>
      </c>
      <c r="H15" s="157"/>
      <c r="I15" s="158">
        <f>#N/A</f>
        <v>-551</v>
      </c>
      <c r="J15" s="158">
        <f>#N/A</f>
        <v>0</v>
      </c>
      <c r="K15" s="161">
        <v>0</v>
      </c>
      <c r="L15" s="161">
        <f>#N/A</f>
        <v>0</v>
      </c>
      <c r="M15" s="208"/>
      <c r="N15" s="157" t="e">
        <f>E15-#REF!</f>
        <v>#REF!</v>
      </c>
      <c r="O15" s="160" t="e">
        <f>F15-#REF!</f>
        <v>#REF!</v>
      </c>
      <c r="P15" s="161" t="e">
        <f>#N/A</f>
        <v>#REF!</v>
      </c>
      <c r="Q15" s="158" t="e">
        <f>#N/A</f>
        <v>#REF!</v>
      </c>
      <c r="R15" s="37"/>
      <c r="S15" s="94"/>
      <c r="T15" s="147">
        <f>#N/A</f>
        <v>551</v>
      </c>
    </row>
    <row r="16" spans="1:20" s="6" customFormat="1" ht="18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>#N/A</f>
        <v>0</v>
      </c>
      <c r="H16" s="30"/>
      <c r="I16" s="37">
        <f>#N/A</f>
        <v>0</v>
      </c>
      <c r="J16" s="37" t="e">
        <f>#N/A</f>
        <v>#DIV/0!</v>
      </c>
      <c r="K16" s="106">
        <v>381.9</v>
      </c>
      <c r="L16" s="161">
        <f>#N/A</f>
        <v>-381.9</v>
      </c>
      <c r="M16" s="208"/>
      <c r="N16" s="157" t="e">
        <f>E16-#REF!</f>
        <v>#REF!</v>
      </c>
      <c r="O16" s="160" t="e">
        <f>F16-#REF!</f>
        <v>#REF!</v>
      </c>
      <c r="P16" s="36" t="e">
        <f>#N/A</f>
        <v>#REF!</v>
      </c>
      <c r="Q16" s="158" t="e">
        <f>#N/A</f>
        <v>#REF!</v>
      </c>
      <c r="R16" s="104" t="e">
        <f>O16-358.81</f>
        <v>#REF!</v>
      </c>
      <c r="S16" s="109" t="e">
        <f>O16/358.79</f>
        <v>#REF!</v>
      </c>
      <c r="T16" s="147">
        <f>#N/A</f>
        <v>0</v>
      </c>
    </row>
    <row r="17" spans="1:20" s="6" customFormat="1" ht="30.75" hidden="1">
      <c r="A17" s="8"/>
      <c r="B17" s="232" t="s">
        <v>116</v>
      </c>
      <c r="C17" s="120">
        <v>13010200</v>
      </c>
      <c r="D17" s="162">
        <v>0</v>
      </c>
      <c r="E17" s="162">
        <v>0</v>
      </c>
      <c r="F17" s="163">
        <v>0</v>
      </c>
      <c r="G17" s="162">
        <f>#N/A</f>
        <v>0</v>
      </c>
      <c r="H17" s="164"/>
      <c r="I17" s="165">
        <f>#N/A</f>
        <v>0</v>
      </c>
      <c r="J17" s="165"/>
      <c r="K17" s="167">
        <v>0.14</v>
      </c>
      <c r="L17" s="161">
        <f>#N/A</f>
        <v>-0.14</v>
      </c>
      <c r="M17" s="208"/>
      <c r="N17" s="157" t="e">
        <f>E17-#REF!</f>
        <v>#REF!</v>
      </c>
      <c r="O17" s="160" t="e">
        <f>F17-#REF!</f>
        <v>#REF!</v>
      </c>
      <c r="P17" s="167" t="e">
        <f>#N/A</f>
        <v>#REF!</v>
      </c>
      <c r="Q17" s="158"/>
      <c r="R17" s="104"/>
      <c r="S17" s="109"/>
      <c r="T17" s="147">
        <f>#N/A</f>
        <v>0</v>
      </c>
    </row>
    <row r="18" spans="1:20" s="6" customFormat="1" ht="30.75">
      <c r="A18" s="8"/>
      <c r="B18" s="13" t="s">
        <v>117</v>
      </c>
      <c r="C18" s="43">
        <v>13030200</v>
      </c>
      <c r="D18" s="150">
        <v>125</v>
      </c>
      <c r="E18" s="150">
        <v>0</v>
      </c>
      <c r="F18" s="156">
        <v>0</v>
      </c>
      <c r="G18" s="150">
        <f>#N/A</f>
        <v>0</v>
      </c>
      <c r="H18" s="157"/>
      <c r="I18" s="158">
        <f>#N/A</f>
        <v>-125</v>
      </c>
      <c r="J18" s="158">
        <f>#N/A</f>
        <v>0</v>
      </c>
      <c r="K18" s="161">
        <v>0</v>
      </c>
      <c r="L18" s="161">
        <f>#N/A</f>
        <v>0</v>
      </c>
      <c r="M18" s="208"/>
      <c r="N18" s="157" t="e">
        <f>E18-#REF!</f>
        <v>#REF!</v>
      </c>
      <c r="O18" s="160" t="e">
        <f>F18-#REF!</f>
        <v>#REF!</v>
      </c>
      <c r="P18" s="161" t="e">
        <f>#N/A</f>
        <v>#REF!</v>
      </c>
      <c r="Q18" s="158"/>
      <c r="R18" s="37"/>
      <c r="S18" s="94"/>
      <c r="T18" s="147">
        <f>#N/A</f>
        <v>125</v>
      </c>
    </row>
    <row r="19" spans="1:20" s="6" customFormat="1" ht="46.5">
      <c r="A19" s="8"/>
      <c r="B19" s="44" t="s">
        <v>72</v>
      </c>
      <c r="C19" s="43">
        <v>14040000</v>
      </c>
      <c r="D19" s="150">
        <v>130000</v>
      </c>
      <c r="E19" s="150">
        <f>8500+1200</f>
        <v>9700</v>
      </c>
      <c r="F19" s="156">
        <v>9751.75</v>
      </c>
      <c r="G19" s="150">
        <f>#N/A</f>
        <v>51.75</v>
      </c>
      <c r="H19" s="157">
        <f>#N/A</f>
        <v>100.53350515463917</v>
      </c>
      <c r="I19" s="158">
        <f>#N/A</f>
        <v>-120248.25</v>
      </c>
      <c r="J19" s="158">
        <f>#N/A</f>
        <v>7.501346153846154</v>
      </c>
      <c r="K19" s="169">
        <v>5560</v>
      </c>
      <c r="L19" s="161">
        <f>#N/A</f>
        <v>4191.75</v>
      </c>
      <c r="M19" s="213">
        <f>#N/A</f>
        <v>1.7539118705035972</v>
      </c>
      <c r="N19" s="157" t="e">
        <f>E19-#REF!</f>
        <v>#REF!</v>
      </c>
      <c r="O19" s="160" t="e">
        <f>F19-#REF!</f>
        <v>#REF!</v>
      </c>
      <c r="P19" s="161" t="e">
        <f>#N/A</f>
        <v>#REF!</v>
      </c>
      <c r="Q19" s="158" t="e">
        <f>#N/A</f>
        <v>#REF!</v>
      </c>
      <c r="R19" s="107"/>
      <c r="S19" s="108"/>
      <c r="T19" s="147">
        <f>#N/A</f>
        <v>120300</v>
      </c>
    </row>
    <row r="20" spans="1:20" s="6" customFormat="1" ht="18">
      <c r="A20" s="8"/>
      <c r="B20" s="117" t="s">
        <v>73</v>
      </c>
      <c r="C20" s="43">
        <v>18000000</v>
      </c>
      <c r="D20" s="150">
        <f>D21+D30+D32+D29</f>
        <v>401130.1</v>
      </c>
      <c r="E20" s="150">
        <f>E21+E30+E32+E29</f>
        <v>36967.5</v>
      </c>
      <c r="F20" s="223">
        <f>F21+F29+F30+F31+F32</f>
        <v>37180.29</v>
      </c>
      <c r="G20" s="150">
        <f>#N/A</f>
        <v>212.79000000000087</v>
      </c>
      <c r="H20" s="157">
        <f>#N/A</f>
        <v>100.57561371474944</v>
      </c>
      <c r="I20" s="158">
        <f>#N/A</f>
        <v>-363949.81</v>
      </c>
      <c r="J20" s="158">
        <f>#N/A</f>
        <v>9.268885581012245</v>
      </c>
      <c r="K20" s="158">
        <v>24797.05</v>
      </c>
      <c r="L20" s="161">
        <f>#N/A</f>
        <v>12383.240000000002</v>
      </c>
      <c r="M20" s="209">
        <f>#N/A</f>
        <v>1.4993835960325927</v>
      </c>
      <c r="N20" s="157" t="e">
        <f>N21+N30+N31+N32</f>
        <v>#REF!</v>
      </c>
      <c r="O20" s="160" t="e">
        <f>F20-#REF!</f>
        <v>#REF!</v>
      </c>
      <c r="P20" s="161" t="e">
        <f>#N/A</f>
        <v>#REF!</v>
      </c>
      <c r="Q20" s="158" t="e">
        <f>#N/A</f>
        <v>#REF!</v>
      </c>
      <c r="R20" s="107"/>
      <c r="S20" s="108"/>
      <c r="T20" s="147">
        <f>#N/A</f>
        <v>364162.6</v>
      </c>
    </row>
    <row r="21" spans="1:20" s="6" customFormat="1" ht="18">
      <c r="A21" s="8"/>
      <c r="B21" s="44" t="s">
        <v>81</v>
      </c>
      <c r="C21" s="114">
        <v>18010000</v>
      </c>
      <c r="D21" s="150">
        <f>D22+D25+D26</f>
        <v>206621</v>
      </c>
      <c r="E21" s="150">
        <f>E22+E25+E26</f>
        <v>16745.8</v>
      </c>
      <c r="F21" s="170">
        <f>F22+F25+F26</f>
        <v>16520.28</v>
      </c>
      <c r="G21" s="150">
        <f>#N/A</f>
        <v>-225.52000000000044</v>
      </c>
      <c r="H21" s="157">
        <f>#N/A</f>
        <v>98.65327425384275</v>
      </c>
      <c r="I21" s="158">
        <f>#N/A</f>
        <v>-190100.72</v>
      </c>
      <c r="J21" s="158">
        <f>#N/A</f>
        <v>7.995450607634267</v>
      </c>
      <c r="K21" s="158">
        <v>11899.3</v>
      </c>
      <c r="L21" s="161">
        <f>#N/A</f>
        <v>4620.98</v>
      </c>
      <c r="M21" s="209">
        <f>#N/A</f>
        <v>1.388340490617095</v>
      </c>
      <c r="N21" s="157" t="e">
        <f>N22+N25+N26</f>
        <v>#REF!</v>
      </c>
      <c r="O21" s="160" t="e">
        <f>F21-#REF!</f>
        <v>#REF!</v>
      </c>
      <c r="P21" s="161" t="e">
        <f>#N/A</f>
        <v>#REF!</v>
      </c>
      <c r="Q21" s="158" t="e">
        <f>#N/A</f>
        <v>#REF!</v>
      </c>
      <c r="R21" s="107"/>
      <c r="S21" s="108"/>
      <c r="T21" s="147">
        <f>#N/A</f>
        <v>189875.2</v>
      </c>
    </row>
    <row r="22" spans="1:21" s="6" customFormat="1" ht="18">
      <c r="A22" s="8"/>
      <c r="B22" s="50" t="s">
        <v>74</v>
      </c>
      <c r="C22" s="123"/>
      <c r="D22" s="171">
        <v>22809</v>
      </c>
      <c r="E22" s="171">
        <v>4150</v>
      </c>
      <c r="F22" s="172">
        <v>3819.61</v>
      </c>
      <c r="G22" s="171">
        <f>#N/A</f>
        <v>-330.3899999999999</v>
      </c>
      <c r="H22" s="173">
        <f>#N/A</f>
        <v>92.0387951807229</v>
      </c>
      <c r="I22" s="174">
        <f>#N/A</f>
        <v>-18989.39</v>
      </c>
      <c r="J22" s="174">
        <f>#N/A</f>
        <v>16.746065149721602</v>
      </c>
      <c r="K22" s="175">
        <v>3049.6</v>
      </c>
      <c r="L22" s="166">
        <f>#N/A</f>
        <v>770.0100000000002</v>
      </c>
      <c r="M22" s="215">
        <f>#N/A</f>
        <v>1.252495409233998</v>
      </c>
      <c r="N22" s="173" t="e">
        <f>E22-#REF!</f>
        <v>#REF!</v>
      </c>
      <c r="O22" s="176" t="e">
        <f>F22-#REF!</f>
        <v>#REF!</v>
      </c>
      <c r="P22" s="177" t="e">
        <f>#N/A</f>
        <v>#REF!</v>
      </c>
      <c r="Q22" s="174" t="e">
        <f>#N/A</f>
        <v>#REF!</v>
      </c>
      <c r="R22" s="107"/>
      <c r="S22" s="108"/>
      <c r="T22" s="147">
        <f>#N/A</f>
        <v>18659</v>
      </c>
      <c r="U22" s="147"/>
    </row>
    <row r="23" spans="1:21" s="6" customFormat="1" ht="18" hidden="1">
      <c r="A23" s="8"/>
      <c r="B23" s="196" t="s">
        <v>109</v>
      </c>
      <c r="C23" s="197"/>
      <c r="D23" s="198">
        <v>1822.3</v>
      </c>
      <c r="E23" s="198">
        <v>140</v>
      </c>
      <c r="F23" s="163">
        <v>120.37</v>
      </c>
      <c r="G23" s="198">
        <f>#N/A</f>
        <v>-19.629999999999995</v>
      </c>
      <c r="H23" s="199">
        <f>#N/A</f>
        <v>85.97857142857143</v>
      </c>
      <c r="I23" s="200">
        <f>#N/A</f>
        <v>-1701.9299999999998</v>
      </c>
      <c r="J23" s="200">
        <f>#N/A</f>
        <v>6.605388794380727</v>
      </c>
      <c r="K23" s="200">
        <v>128.1</v>
      </c>
      <c r="L23" s="200">
        <f>#N/A</f>
        <v>-7.72999999999999</v>
      </c>
      <c r="M23" s="228">
        <f>#N/A</f>
        <v>0.939656518345043</v>
      </c>
      <c r="N23" s="199" t="e">
        <f>E23-#REF!</f>
        <v>#REF!</v>
      </c>
      <c r="O23" s="199" t="e">
        <f>F23-#REF!</f>
        <v>#REF!</v>
      </c>
      <c r="P23" s="200" t="e">
        <f>#N/A</f>
        <v>#REF!</v>
      </c>
      <c r="Q23" s="200" t="e">
        <f>#N/A</f>
        <v>#REF!</v>
      </c>
      <c r="R23" s="107"/>
      <c r="S23" s="108"/>
      <c r="T23" s="147">
        <f>#N/A</f>
        <v>1682.3</v>
      </c>
      <c r="U23" s="147"/>
    </row>
    <row r="24" spans="1:21" s="6" customFormat="1" ht="18" hidden="1">
      <c r="A24" s="8"/>
      <c r="B24" s="196" t="s">
        <v>110</v>
      </c>
      <c r="C24" s="197"/>
      <c r="D24" s="198">
        <v>20986.7</v>
      </c>
      <c r="E24" s="198">
        <v>4010</v>
      </c>
      <c r="F24" s="163">
        <v>3699.24</v>
      </c>
      <c r="G24" s="198">
        <f>#N/A</f>
        <v>-310.7600000000002</v>
      </c>
      <c r="H24" s="199">
        <f>#N/A</f>
        <v>92.2503740648379</v>
      </c>
      <c r="I24" s="200">
        <f>#N/A</f>
        <v>-17287.46</v>
      </c>
      <c r="J24" s="200">
        <f>#N/A</f>
        <v>17.62659207974574</v>
      </c>
      <c r="K24" s="200">
        <v>2921.5</v>
      </c>
      <c r="L24" s="200">
        <f>#N/A</f>
        <v>777.7399999999998</v>
      </c>
      <c r="M24" s="228">
        <f>#N/A</f>
        <v>1.266212562040048</v>
      </c>
      <c r="N24" s="199" t="e">
        <f>E24-#REF!</f>
        <v>#REF!</v>
      </c>
      <c r="O24" s="199" t="e">
        <f>F24-#REF!</f>
        <v>#REF!</v>
      </c>
      <c r="P24" s="200" t="e">
        <f>#N/A</f>
        <v>#REF!</v>
      </c>
      <c r="Q24" s="200" t="e">
        <f>#N/A</f>
        <v>#REF!</v>
      </c>
      <c r="R24" s="107"/>
      <c r="S24" s="108"/>
      <c r="T24" s="147">
        <f>#N/A</f>
        <v>16976.7</v>
      </c>
      <c r="U24" s="147"/>
    </row>
    <row r="25" spans="1:20" s="6" customFormat="1" ht="18">
      <c r="A25" s="8"/>
      <c r="B25" s="50" t="s">
        <v>75</v>
      </c>
      <c r="C25" s="123"/>
      <c r="D25" s="171">
        <v>820</v>
      </c>
      <c r="E25" s="171">
        <v>45.8</v>
      </c>
      <c r="F25" s="172">
        <v>52.08</v>
      </c>
      <c r="G25" s="171">
        <f>#N/A</f>
        <v>6.280000000000001</v>
      </c>
      <c r="H25" s="173">
        <f>#N/A</f>
        <v>113.71179039301312</v>
      </c>
      <c r="I25" s="174">
        <f>#N/A</f>
        <v>-767.92</v>
      </c>
      <c r="J25" s="174">
        <f>#N/A</f>
        <v>6.351219512195122</v>
      </c>
      <c r="K25" s="174">
        <v>156.87</v>
      </c>
      <c r="L25" s="174">
        <f>#N/A</f>
        <v>-104.79</v>
      </c>
      <c r="M25" s="212">
        <f>#N/A</f>
        <v>0.33199464524765726</v>
      </c>
      <c r="N25" s="173" t="e">
        <f>E25-#REF!</f>
        <v>#REF!</v>
      </c>
      <c r="O25" s="176" t="e">
        <f>F25-#REF!</f>
        <v>#REF!</v>
      </c>
      <c r="P25" s="177" t="e">
        <f>#N/A</f>
        <v>#REF!</v>
      </c>
      <c r="Q25" s="174"/>
      <c r="R25" s="107"/>
      <c r="S25" s="108"/>
      <c r="T25" s="147">
        <f>#N/A</f>
        <v>774.2</v>
      </c>
    </row>
    <row r="26" spans="1:20" s="6" customFormat="1" ht="18">
      <c r="A26" s="8"/>
      <c r="B26" s="50" t="s">
        <v>76</v>
      </c>
      <c r="C26" s="123"/>
      <c r="D26" s="171">
        <v>182992</v>
      </c>
      <c r="E26" s="171">
        <v>12550</v>
      </c>
      <c r="F26" s="172">
        <v>12648.59</v>
      </c>
      <c r="G26" s="171">
        <f>#N/A</f>
        <v>98.59000000000015</v>
      </c>
      <c r="H26" s="173">
        <f>#N/A</f>
        <v>100.78557768924303</v>
      </c>
      <c r="I26" s="174">
        <f>#N/A</f>
        <v>-170343.41</v>
      </c>
      <c r="J26" s="174">
        <f>#N/A</f>
        <v>6.912099982512896</v>
      </c>
      <c r="K26" s="175">
        <v>8692.83</v>
      </c>
      <c r="L26" s="175">
        <f>#N/A</f>
        <v>3955.76</v>
      </c>
      <c r="M26" s="211">
        <f>#N/A</f>
        <v>1.455060089752129</v>
      </c>
      <c r="N26" s="173" t="e">
        <f>E26-#REF!</f>
        <v>#REF!</v>
      </c>
      <c r="O26" s="176" t="e">
        <f>F26-#REF!</f>
        <v>#REF!</v>
      </c>
      <c r="P26" s="177" t="e">
        <f>#N/A</f>
        <v>#REF!</v>
      </c>
      <c r="Q26" s="174" t="e">
        <f>O26/N26*100</f>
        <v>#REF!</v>
      </c>
      <c r="R26" s="107"/>
      <c r="S26" s="108"/>
      <c r="T26" s="147">
        <f>#N/A</f>
        <v>170442</v>
      </c>
    </row>
    <row r="27" spans="1:20" s="6" customFormat="1" ht="18" hidden="1">
      <c r="A27" s="8"/>
      <c r="B27" s="196" t="s">
        <v>111</v>
      </c>
      <c r="C27" s="197"/>
      <c r="D27" s="198">
        <v>57533</v>
      </c>
      <c r="E27" s="198">
        <v>3530</v>
      </c>
      <c r="F27" s="163">
        <v>3799.86</v>
      </c>
      <c r="G27" s="198">
        <f>#N/A</f>
        <v>269.8600000000001</v>
      </c>
      <c r="H27" s="199">
        <f>#N/A</f>
        <v>107.64475920679888</v>
      </c>
      <c r="I27" s="200">
        <f>#N/A</f>
        <v>-53733.14</v>
      </c>
      <c r="J27" s="200">
        <f>#N/A</f>
        <v>6.604661672431475</v>
      </c>
      <c r="K27" s="200">
        <v>2454.05</v>
      </c>
      <c r="L27" s="200">
        <f>#N/A</f>
        <v>1345.81</v>
      </c>
      <c r="M27" s="228">
        <f>#N/A</f>
        <v>1.5484036592571462</v>
      </c>
      <c r="N27" s="199" t="e">
        <f>E27-#REF!</f>
        <v>#REF!</v>
      </c>
      <c r="O27" s="199" t="e">
        <f>F27-#REF!</f>
        <v>#REF!</v>
      </c>
      <c r="P27" s="200" t="e">
        <f>#N/A</f>
        <v>#REF!</v>
      </c>
      <c r="Q27" s="200" t="e">
        <f>O27/N27*100</f>
        <v>#REF!</v>
      </c>
      <c r="R27" s="107"/>
      <c r="S27" s="108"/>
      <c r="T27" s="147">
        <f>#N/A</f>
        <v>54003</v>
      </c>
    </row>
    <row r="28" spans="1:20" s="6" customFormat="1" ht="18" hidden="1">
      <c r="A28" s="8"/>
      <c r="B28" s="196" t="s">
        <v>112</v>
      </c>
      <c r="C28" s="197"/>
      <c r="D28" s="198">
        <v>125459</v>
      </c>
      <c r="E28" s="198">
        <v>9020</v>
      </c>
      <c r="F28" s="163">
        <v>8848.73</v>
      </c>
      <c r="G28" s="198">
        <f>#N/A</f>
        <v>-171.27000000000044</v>
      </c>
      <c r="H28" s="199">
        <f>#N/A</f>
        <v>98.10121951219512</v>
      </c>
      <c r="I28" s="200">
        <f>#N/A</f>
        <v>-116610.27</v>
      </c>
      <c r="J28" s="200">
        <f>#N/A</f>
        <v>7.053085071617023</v>
      </c>
      <c r="K28" s="200">
        <v>6238.78</v>
      </c>
      <c r="L28" s="200">
        <f>#N/A</f>
        <v>2609.95</v>
      </c>
      <c r="M28" s="228">
        <f>#N/A</f>
        <v>1.4183430093704217</v>
      </c>
      <c r="N28" s="199" t="e">
        <f>E28-#REF!</f>
        <v>#REF!</v>
      </c>
      <c r="O28" s="199" t="e">
        <f>F28-#REF!</f>
        <v>#REF!</v>
      </c>
      <c r="P28" s="200" t="e">
        <f>#N/A</f>
        <v>#REF!</v>
      </c>
      <c r="Q28" s="200" t="e">
        <f>O28/N28*100</f>
        <v>#REF!</v>
      </c>
      <c r="R28" s="107"/>
      <c r="S28" s="108"/>
      <c r="T28" s="147">
        <f>#N/A</f>
        <v>116439</v>
      </c>
    </row>
    <row r="29" spans="1:20" s="6" customFormat="1" ht="18">
      <c r="A29" s="8"/>
      <c r="B29" s="225" t="s">
        <v>115</v>
      </c>
      <c r="C29" s="222">
        <v>18020000</v>
      </c>
      <c r="D29" s="162">
        <v>0</v>
      </c>
      <c r="E29" s="162">
        <v>0</v>
      </c>
      <c r="F29" s="199">
        <v>0.2</v>
      </c>
      <c r="G29" s="150">
        <f>#N/A</f>
        <v>0.2</v>
      </c>
      <c r="H29" s="157"/>
      <c r="I29" s="158">
        <f>#N/A</f>
        <v>0.2</v>
      </c>
      <c r="J29" s="158"/>
      <c r="K29" s="167">
        <v>0</v>
      </c>
      <c r="L29" s="158">
        <f>#N/A</f>
        <v>0.2</v>
      </c>
      <c r="M29" s="210"/>
      <c r="N29" s="157" t="e">
        <f>E29-#REF!</f>
        <v>#REF!</v>
      </c>
      <c r="O29" s="160" t="e">
        <f>F29-#REF!</f>
        <v>#REF!</v>
      </c>
      <c r="P29" s="161" t="e">
        <f>#N/A</f>
        <v>#REF!</v>
      </c>
      <c r="Q29" s="158"/>
      <c r="R29" s="107"/>
      <c r="S29" s="108"/>
      <c r="T29" s="147">
        <f>#N/A</f>
        <v>0</v>
      </c>
    </row>
    <row r="30" spans="1:20" s="6" customFormat="1" ht="18">
      <c r="A30" s="8"/>
      <c r="B30" s="44" t="s">
        <v>82</v>
      </c>
      <c r="C30" s="114">
        <v>18030000</v>
      </c>
      <c r="D30" s="150">
        <v>115</v>
      </c>
      <c r="E30" s="150">
        <v>3</v>
      </c>
      <c r="F30" s="156">
        <v>13.06</v>
      </c>
      <c r="G30" s="150">
        <f>#N/A</f>
        <v>10.06</v>
      </c>
      <c r="H30" s="157">
        <f>#N/A</f>
        <v>435.33333333333337</v>
      </c>
      <c r="I30" s="158">
        <f>#N/A</f>
        <v>-101.94</v>
      </c>
      <c r="J30" s="158">
        <f>#N/A</f>
        <v>11.356521739130434</v>
      </c>
      <c r="K30" s="158">
        <v>2.61</v>
      </c>
      <c r="L30" s="158">
        <f>#N/A</f>
        <v>10.450000000000001</v>
      </c>
      <c r="M30" s="210">
        <f>F30/K30</f>
        <v>5.0038314176245215</v>
      </c>
      <c r="N30" s="157" t="e">
        <f>E30-#REF!</f>
        <v>#REF!</v>
      </c>
      <c r="O30" s="160" t="e">
        <f>F30-#REF!</f>
        <v>#REF!</v>
      </c>
      <c r="P30" s="161" t="e">
        <f>#N/A</f>
        <v>#REF!</v>
      </c>
      <c r="Q30" s="158" t="e">
        <f>O30/N30*100</f>
        <v>#REF!</v>
      </c>
      <c r="R30" s="107"/>
      <c r="S30" s="108"/>
      <c r="T30" s="147">
        <f>#N/A</f>
        <v>112</v>
      </c>
    </row>
    <row r="31" spans="1:20" s="6" customFormat="1" ht="49.5" customHeight="1">
      <c r="A31" s="8"/>
      <c r="B31" s="225" t="s">
        <v>83</v>
      </c>
      <c r="C31" s="114">
        <v>18040000</v>
      </c>
      <c r="D31" s="150"/>
      <c r="E31" s="150"/>
      <c r="F31" s="156">
        <v>-2.93</v>
      </c>
      <c r="G31" s="150">
        <f>#N/A</f>
        <v>-2.93</v>
      </c>
      <c r="H31" s="157"/>
      <c r="I31" s="158">
        <f>#N/A</f>
        <v>-2.93</v>
      </c>
      <c r="J31" s="158"/>
      <c r="K31" s="158">
        <v>-0.35</v>
      </c>
      <c r="L31" s="158">
        <f>#N/A</f>
        <v>-2.58</v>
      </c>
      <c r="M31" s="210">
        <f>F31/K31</f>
        <v>8.371428571428572</v>
      </c>
      <c r="N31" s="157" t="e">
        <f>E31-#REF!</f>
        <v>#REF!</v>
      </c>
      <c r="O31" s="160" t="e">
        <f>F31-#REF!</f>
        <v>#REF!</v>
      </c>
      <c r="P31" s="161" t="e">
        <f>#N/A</f>
        <v>#REF!</v>
      </c>
      <c r="Q31" s="158"/>
      <c r="R31" s="107"/>
      <c r="S31" s="108"/>
      <c r="T31" s="147">
        <f>#N/A</f>
        <v>0</v>
      </c>
    </row>
    <row r="32" spans="1:20" s="6" customFormat="1" ht="18">
      <c r="A32" s="8"/>
      <c r="B32" s="44" t="s">
        <v>84</v>
      </c>
      <c r="C32" s="114">
        <v>18050000</v>
      </c>
      <c r="D32" s="162">
        <v>194394.1</v>
      </c>
      <c r="E32" s="162">
        <f>14418.7+900+4900</f>
        <v>20218.7</v>
      </c>
      <c r="F32" s="163">
        <v>20649.68</v>
      </c>
      <c r="G32" s="162">
        <f>#N/A</f>
        <v>430.97999999999956</v>
      </c>
      <c r="H32" s="164">
        <f>#N/A</f>
        <v>102.13159105184803</v>
      </c>
      <c r="I32" s="165">
        <f>#N/A</f>
        <v>-173744.42</v>
      </c>
      <c r="J32" s="165">
        <f>#N/A</f>
        <v>10.622585767777931</v>
      </c>
      <c r="K32" s="178">
        <v>12895.5</v>
      </c>
      <c r="L32" s="178">
        <f>F32-K32</f>
        <v>7754.18</v>
      </c>
      <c r="M32" s="226">
        <f>F32/K32</f>
        <v>1.6013089837540226</v>
      </c>
      <c r="N32" s="157" t="e">
        <f>E32-#REF!</f>
        <v>#REF!</v>
      </c>
      <c r="O32" s="160" t="e">
        <f>F32-#REF!</f>
        <v>#REF!</v>
      </c>
      <c r="P32" s="167" t="e">
        <f>#N/A</f>
        <v>#REF!</v>
      </c>
      <c r="Q32" s="165" t="e">
        <f>O32/N32*100</f>
        <v>#REF!</v>
      </c>
      <c r="R32" s="107"/>
      <c r="S32" s="108"/>
      <c r="T32" s="147">
        <f>#N/A</f>
        <v>174175.4</v>
      </c>
    </row>
    <row r="33" spans="1:20" s="6" customFormat="1" ht="15" hidden="1">
      <c r="A33" s="8"/>
      <c r="B33" s="50" t="s">
        <v>90</v>
      </c>
      <c r="C33" s="102">
        <v>18050200</v>
      </c>
      <c r="D33" s="103">
        <v>0</v>
      </c>
      <c r="E33" s="103">
        <v>0</v>
      </c>
      <c r="F33" s="140">
        <v>0</v>
      </c>
      <c r="G33" s="103">
        <f>#N/A</f>
        <v>0</v>
      </c>
      <c r="H33" s="105"/>
      <c r="I33" s="104">
        <f>#N/A</f>
        <v>0</v>
      </c>
      <c r="J33" s="104"/>
      <c r="K33" s="127">
        <v>0</v>
      </c>
      <c r="L33" s="127">
        <f>#N/A</f>
        <v>0</v>
      </c>
      <c r="M33" s="216" t="e">
        <f>#N/A</f>
        <v>#DIV/0!</v>
      </c>
      <c r="N33" s="105" t="e">
        <f>E33-#REF!</f>
        <v>#REF!</v>
      </c>
      <c r="O33" s="144" t="e">
        <f>F33-#REF!</f>
        <v>#REF!</v>
      </c>
      <c r="P33" s="106" t="e">
        <f>#N/A</f>
        <v>#REF!</v>
      </c>
      <c r="Q33" s="104"/>
      <c r="R33" s="107"/>
      <c r="S33" s="108"/>
      <c r="T33" s="147">
        <f>#N/A</f>
        <v>0</v>
      </c>
    </row>
    <row r="34" spans="1:20" s="6" customFormat="1" ht="15" hidden="1">
      <c r="A34" s="8"/>
      <c r="B34" s="50" t="s">
        <v>91</v>
      </c>
      <c r="C34" s="102">
        <v>18050300</v>
      </c>
      <c r="D34" s="103">
        <v>41000</v>
      </c>
      <c r="E34" s="103">
        <f>2600+900</f>
        <v>3500</v>
      </c>
      <c r="F34" s="140">
        <v>3585.03</v>
      </c>
      <c r="G34" s="103">
        <f>#N/A</f>
        <v>85.0300000000002</v>
      </c>
      <c r="H34" s="105">
        <f>#N/A</f>
        <v>102.42942857142859</v>
      </c>
      <c r="I34" s="104">
        <f>#N/A</f>
        <v>-37414.97</v>
      </c>
      <c r="J34" s="104">
        <f>#N/A</f>
        <v>8.743975609756099</v>
      </c>
      <c r="K34" s="127">
        <v>2155.98</v>
      </c>
      <c r="L34" s="127">
        <f>#N/A</f>
        <v>1429.0500000000002</v>
      </c>
      <c r="M34" s="216">
        <f>#N/A</f>
        <v>1.6628308240336183</v>
      </c>
      <c r="N34" s="105" t="e">
        <f>E34-#REF!</f>
        <v>#REF!</v>
      </c>
      <c r="O34" s="144" t="e">
        <f>F34-#REF!</f>
        <v>#REF!</v>
      </c>
      <c r="P34" s="106" t="e">
        <f>#N/A</f>
        <v>#REF!</v>
      </c>
      <c r="Q34" s="104" t="e">
        <f>O34/N34*100</f>
        <v>#REF!</v>
      </c>
      <c r="R34" s="107"/>
      <c r="S34" s="108"/>
      <c r="T34" s="147">
        <f>#N/A</f>
        <v>37500</v>
      </c>
    </row>
    <row r="35" spans="1:20" s="6" customFormat="1" ht="15" hidden="1">
      <c r="A35" s="8"/>
      <c r="B35" s="50" t="s">
        <v>92</v>
      </c>
      <c r="C35" s="102">
        <v>18050400</v>
      </c>
      <c r="D35" s="103">
        <v>153339.1</v>
      </c>
      <c r="E35" s="103">
        <f>11800+4900</f>
        <v>16700</v>
      </c>
      <c r="F35" s="140">
        <v>17048.54</v>
      </c>
      <c r="G35" s="103">
        <f>#N/A</f>
        <v>348.5400000000009</v>
      </c>
      <c r="H35" s="105">
        <f>#N/A</f>
        <v>102.08706586826348</v>
      </c>
      <c r="I35" s="104">
        <f>#N/A</f>
        <v>-136290.56</v>
      </c>
      <c r="J35" s="104">
        <f>#N/A</f>
        <v>11.118194902669964</v>
      </c>
      <c r="K35" s="127">
        <v>10736.34</v>
      </c>
      <c r="L35" s="127">
        <f>#N/A</f>
        <v>6312.200000000001</v>
      </c>
      <c r="M35" s="216">
        <f>#N/A</f>
        <v>1.5879284746943558</v>
      </c>
      <c r="N35" s="105" t="e">
        <f>E35-#REF!</f>
        <v>#REF!</v>
      </c>
      <c r="O35" s="144" t="e">
        <f>F35-#REF!</f>
        <v>#REF!</v>
      </c>
      <c r="P35" s="106" t="e">
        <f>#N/A</f>
        <v>#REF!</v>
      </c>
      <c r="Q35" s="104" t="e">
        <f>O35/N35*100</f>
        <v>#REF!</v>
      </c>
      <c r="R35" s="107"/>
      <c r="S35" s="108"/>
      <c r="T35" s="147">
        <f>#N/A</f>
        <v>136639.1</v>
      </c>
    </row>
    <row r="36" spans="1:20" s="6" customFormat="1" ht="15" hidden="1">
      <c r="A36" s="8"/>
      <c r="B36" s="50" t="s">
        <v>93</v>
      </c>
      <c r="C36" s="102">
        <v>18050500</v>
      </c>
      <c r="D36" s="103">
        <v>55</v>
      </c>
      <c r="E36" s="103">
        <v>18.7</v>
      </c>
      <c r="F36" s="140">
        <v>16.11</v>
      </c>
      <c r="G36" s="103">
        <f>#N/A</f>
        <v>-2.59</v>
      </c>
      <c r="H36" s="105">
        <f>#N/A</f>
        <v>86.14973262032085</v>
      </c>
      <c r="I36" s="104">
        <f>#N/A</f>
        <v>-38.89</v>
      </c>
      <c r="J36" s="104">
        <f>#N/A</f>
        <v>29.29090909090909</v>
      </c>
      <c r="K36" s="127">
        <v>3.19</v>
      </c>
      <c r="L36" s="127">
        <f>#N/A</f>
        <v>12.92</v>
      </c>
      <c r="M36" s="216">
        <f>#N/A</f>
        <v>5.0501567398119125</v>
      </c>
      <c r="N36" s="105" t="e">
        <f>E36-#REF!</f>
        <v>#REF!</v>
      </c>
      <c r="O36" s="144" t="e">
        <f>F36-#REF!</f>
        <v>#REF!</v>
      </c>
      <c r="P36" s="106" t="e">
        <f>#N/A</f>
        <v>#REF!</v>
      </c>
      <c r="Q36" s="104"/>
      <c r="R36" s="107"/>
      <c r="S36" s="108"/>
      <c r="T36" s="147">
        <f>#N/A</f>
        <v>36.3</v>
      </c>
    </row>
    <row r="37" spans="1:20" s="6" customFormat="1" ht="15" customHeight="1" hidden="1">
      <c r="A37" s="8"/>
      <c r="B37" s="232" t="s">
        <v>46</v>
      </c>
      <c r="C37" s="43">
        <v>19010000</v>
      </c>
      <c r="D37" s="34">
        <v>0</v>
      </c>
      <c r="E37" s="34">
        <v>0</v>
      </c>
      <c r="F37" s="34">
        <v>0</v>
      </c>
      <c r="G37" s="34">
        <f>#N/A</f>
        <v>0</v>
      </c>
      <c r="H37" s="30"/>
      <c r="I37" s="37">
        <f>#N/A</f>
        <v>0</v>
      </c>
      <c r="J37" s="37"/>
      <c r="K37" s="119">
        <v>9.9</v>
      </c>
      <c r="L37" s="119">
        <f>#N/A</f>
        <v>-9.9</v>
      </c>
      <c r="M37" s="217">
        <f>#N/A</f>
        <v>0</v>
      </c>
      <c r="N37" s="137" t="e">
        <f>E37-#REF!</f>
        <v>#REF!</v>
      </c>
      <c r="O37" s="145" t="e">
        <f>F37-#REF!</f>
        <v>#REF!</v>
      </c>
      <c r="P37" s="36" t="e">
        <f>#N/A</f>
        <v>#REF!</v>
      </c>
      <c r="Q37" s="37"/>
      <c r="R37" s="107"/>
      <c r="S37" s="108"/>
      <c r="T37" s="147">
        <f>#N/A</f>
        <v>0</v>
      </c>
    </row>
    <row r="38" spans="1:20" s="6" customFormat="1" ht="17.25">
      <c r="A38" s="7"/>
      <c r="B38" s="16" t="s">
        <v>12</v>
      </c>
      <c r="C38" s="70">
        <v>20000000</v>
      </c>
      <c r="D38" s="151">
        <f>D39+D40+D41+D42+D43+D45+D47+D48+D49+D50+D51+D56+D57+D61+D44</f>
        <v>59025</v>
      </c>
      <c r="E38" s="151">
        <f>E39+E40+E41+E42+E43+E45+E47+E48+E49+E50+E51+E56+E57+E61+E44</f>
        <v>2987.8</v>
      </c>
      <c r="F38" s="151">
        <f>F39+F40+F41+F42+F43+F45+F47+F48+F49+F50+F51+F56+F57+F61+F44</f>
        <v>4227.7300000000005</v>
      </c>
      <c r="G38" s="151">
        <f>G39+G40+G41+G42+G43+G45+G47+G48+G49+G50+G51+G56+G57+G61</f>
        <v>1246.73</v>
      </c>
      <c r="H38" s="152">
        <f>F38/E38*100</f>
        <v>141.4997657139032</v>
      </c>
      <c r="I38" s="153">
        <f>F38-D38</f>
        <v>-54797.27</v>
      </c>
      <c r="J38" s="153">
        <f>F38/D38*100</f>
        <v>7.162609063955952</v>
      </c>
      <c r="K38" s="151">
        <v>2030.96</v>
      </c>
      <c r="L38" s="151">
        <f>#N/A</f>
        <v>2196.7700000000004</v>
      </c>
      <c r="M38" s="205">
        <f>#N/A</f>
        <v>2.08164119431205</v>
      </c>
      <c r="N38" s="151" t="e">
        <f>N39+N40+N41+N42+N43+N45+N47+N48+N49+N50+N51+N56+N57+N61+N44</f>
        <v>#REF!</v>
      </c>
      <c r="O38" s="151" t="e">
        <f>O39+O40+O41+O42+O43+O45+O47+O48+O49+O50+O51+O56+O57+O61+O44</f>
        <v>#REF!</v>
      </c>
      <c r="P38" s="151" t="e">
        <f>P39+P40+P41+P42+P43+P45+P47+P48+P49+P50+P51+P56+P57+P61</f>
        <v>#REF!</v>
      </c>
      <c r="Q38" s="151" t="e">
        <f>O38/N38*100</f>
        <v>#REF!</v>
      </c>
      <c r="R38" s="15" t="e">
        <f>#N/A</f>
        <v>#N/A</v>
      </c>
      <c r="S38" s="15" t="e">
        <f>#N/A</f>
        <v>#N/A</v>
      </c>
      <c r="T38" s="147">
        <f>#N/A</f>
        <v>56037.2</v>
      </c>
    </row>
    <row r="39" spans="1:20" s="6" customFormat="1" ht="46.5">
      <c r="A39" s="8"/>
      <c r="B39" s="44" t="s">
        <v>98</v>
      </c>
      <c r="C39" s="43">
        <v>21010301</v>
      </c>
      <c r="D39" s="150">
        <v>580</v>
      </c>
      <c r="E39" s="150">
        <v>0</v>
      </c>
      <c r="F39" s="156">
        <v>8.18</v>
      </c>
      <c r="G39" s="162">
        <f>F39-E39</f>
        <v>8.18</v>
      </c>
      <c r="H39" s="164"/>
      <c r="I39" s="165">
        <f>F39-D39</f>
        <v>-571.82</v>
      </c>
      <c r="J39" s="165">
        <f>F39/D39*100</f>
        <v>1.410344827586207</v>
      </c>
      <c r="K39" s="165">
        <v>4.71</v>
      </c>
      <c r="L39" s="165">
        <f>#N/A</f>
        <v>3.4699999999999998</v>
      </c>
      <c r="M39" s="218">
        <f>#N/A</f>
        <v>1.7367303609341826</v>
      </c>
      <c r="N39" s="164" t="e">
        <f>E39-#REF!</f>
        <v>#REF!</v>
      </c>
      <c r="O39" s="168" t="e">
        <f>F39-#REF!</f>
        <v>#REF!</v>
      </c>
      <c r="P39" s="167" t="e">
        <f>O39-N39</f>
        <v>#REF!</v>
      </c>
      <c r="Q39" s="165" t="e">
        <f>#N/A</f>
        <v>#REF!</v>
      </c>
      <c r="R39" s="37"/>
      <c r="S39" s="94"/>
      <c r="T39" s="147">
        <f>#N/A</f>
        <v>580</v>
      </c>
    </row>
    <row r="40" spans="1:20" s="6" customFormat="1" ht="30.75">
      <c r="A40" s="8"/>
      <c r="B40" s="129" t="s">
        <v>77</v>
      </c>
      <c r="C40" s="42">
        <v>21050000</v>
      </c>
      <c r="D40" s="150">
        <v>30000</v>
      </c>
      <c r="E40" s="150">
        <v>0</v>
      </c>
      <c r="F40" s="156">
        <v>0</v>
      </c>
      <c r="G40" s="162">
        <f>#N/A</f>
        <v>0</v>
      </c>
      <c r="H40" s="164"/>
      <c r="I40" s="165">
        <f>#N/A</f>
        <v>-30000</v>
      </c>
      <c r="J40" s="165">
        <f>F40/D40*100</f>
        <v>0</v>
      </c>
      <c r="K40" s="165">
        <v>0</v>
      </c>
      <c r="L40" s="165">
        <f>#N/A</f>
        <v>0</v>
      </c>
      <c r="M40" s="218"/>
      <c r="N40" s="164" t="e">
        <f>E40-#REF!</f>
        <v>#REF!</v>
      </c>
      <c r="O40" s="168" t="e">
        <f>F40-#REF!</f>
        <v>#REF!</v>
      </c>
      <c r="P40" s="167" t="e">
        <f>#N/A</f>
        <v>#REF!</v>
      </c>
      <c r="Q40" s="165" t="e">
        <f>#N/A</f>
        <v>#REF!</v>
      </c>
      <c r="R40" s="37"/>
      <c r="S40" s="94"/>
      <c r="T40" s="147">
        <f>#N/A</f>
        <v>30000</v>
      </c>
    </row>
    <row r="41" spans="1:20" s="6" customFormat="1" ht="18">
      <c r="A41" s="8"/>
      <c r="B41" s="129" t="s">
        <v>61</v>
      </c>
      <c r="C41" s="42">
        <v>21080500</v>
      </c>
      <c r="D41" s="150">
        <v>40</v>
      </c>
      <c r="E41" s="150">
        <v>10</v>
      </c>
      <c r="F41" s="156">
        <v>14.87</v>
      </c>
      <c r="G41" s="162">
        <f>#N/A</f>
        <v>4.869999999999999</v>
      </c>
      <c r="H41" s="164">
        <f>#N/A</f>
        <v>148.7</v>
      </c>
      <c r="I41" s="165">
        <f>#N/A</f>
        <v>-25.130000000000003</v>
      </c>
      <c r="J41" s="165">
        <f>#N/A</f>
        <v>37.175</v>
      </c>
      <c r="K41" s="165">
        <v>17.84</v>
      </c>
      <c r="L41" s="165">
        <f>#N/A</f>
        <v>-2.9700000000000006</v>
      </c>
      <c r="M41" s="218">
        <f>#N/A</f>
        <v>0.8335201793721972</v>
      </c>
      <c r="N41" s="164" t="e">
        <f>E41-#REF!</f>
        <v>#REF!</v>
      </c>
      <c r="O41" s="168" t="e">
        <f>F41-#REF!</f>
        <v>#REF!</v>
      </c>
      <c r="P41" s="167" t="e">
        <f>#N/A</f>
        <v>#REF!</v>
      </c>
      <c r="Q41" s="165"/>
      <c r="R41" s="37"/>
      <c r="S41" s="94"/>
      <c r="T41" s="147">
        <f>#N/A</f>
        <v>30</v>
      </c>
    </row>
    <row r="42" spans="1:20" s="6" customFormat="1" ht="31.5" hidden="1">
      <c r="A42" s="8"/>
      <c r="B42" s="233" t="s">
        <v>39</v>
      </c>
      <c r="C42" s="71">
        <v>21080900</v>
      </c>
      <c r="D42" s="150">
        <f>6.5-6.5</f>
        <v>0</v>
      </c>
      <c r="E42" s="150">
        <v>0</v>
      </c>
      <c r="F42" s="156">
        <v>0</v>
      </c>
      <c r="G42" s="162">
        <f>#N/A</f>
        <v>0</v>
      </c>
      <c r="H42" s="164"/>
      <c r="I42" s="165">
        <f>#N/A</f>
        <v>0</v>
      </c>
      <c r="J42" s="165"/>
      <c r="K42" s="165">
        <v>1.02</v>
      </c>
      <c r="L42" s="165">
        <f>#N/A</f>
        <v>-1.02</v>
      </c>
      <c r="M42" s="218">
        <f>#N/A</f>
        <v>0</v>
      </c>
      <c r="N42" s="164" t="e">
        <f>E42-#REF!</f>
        <v>#REF!</v>
      </c>
      <c r="O42" s="168" t="e">
        <f>F42-#REF!</f>
        <v>#REF!</v>
      </c>
      <c r="P42" s="167" t="e">
        <f>#N/A</f>
        <v>#REF!</v>
      </c>
      <c r="Q42" s="165"/>
      <c r="R42" s="37"/>
      <c r="S42" s="94"/>
      <c r="T42" s="147">
        <f>#N/A</f>
        <v>0</v>
      </c>
    </row>
    <row r="43" spans="1:20" s="6" customFormat="1" ht="18">
      <c r="A43" s="8"/>
      <c r="B43" s="130" t="s">
        <v>16</v>
      </c>
      <c r="C43" s="72">
        <v>21081100</v>
      </c>
      <c r="D43" s="150">
        <v>260</v>
      </c>
      <c r="E43" s="150">
        <v>20</v>
      </c>
      <c r="F43" s="156">
        <v>11.17</v>
      </c>
      <c r="G43" s="162">
        <f>#N/A</f>
        <v>-8.83</v>
      </c>
      <c r="H43" s="164">
        <f>#N/A</f>
        <v>55.85</v>
      </c>
      <c r="I43" s="165">
        <f>#N/A</f>
        <v>-248.83</v>
      </c>
      <c r="J43" s="165">
        <f>#N/A</f>
        <v>4.296153846153846</v>
      </c>
      <c r="K43" s="165">
        <v>-6.4</v>
      </c>
      <c r="L43" s="165">
        <f>#N/A</f>
        <v>17.57</v>
      </c>
      <c r="M43" s="218">
        <f>#N/A</f>
        <v>-1.7453124999999998</v>
      </c>
      <c r="N43" s="164" t="e">
        <f>E43-#REF!</f>
        <v>#REF!</v>
      </c>
      <c r="O43" s="168" t="e">
        <f>F43-#REF!</f>
        <v>#REF!</v>
      </c>
      <c r="P43" s="167" t="e">
        <f>#N/A</f>
        <v>#REF!</v>
      </c>
      <c r="Q43" s="165" t="e">
        <f>#N/A</f>
        <v>#REF!</v>
      </c>
      <c r="R43" s="37"/>
      <c r="S43" s="94"/>
      <c r="T43" s="147">
        <f>#N/A</f>
        <v>240</v>
      </c>
    </row>
    <row r="44" spans="1:20" s="6" customFormat="1" ht="46.5">
      <c r="A44" s="8"/>
      <c r="B44" s="130" t="s">
        <v>80</v>
      </c>
      <c r="C44" s="72">
        <v>21081500</v>
      </c>
      <c r="D44" s="150">
        <v>97.5</v>
      </c>
      <c r="E44" s="150">
        <v>6.8</v>
      </c>
      <c r="F44" s="156">
        <v>0</v>
      </c>
      <c r="G44" s="162">
        <f>#N/A</f>
        <v>-6.8</v>
      </c>
      <c r="H44" s="164"/>
      <c r="I44" s="165">
        <f>#N/A</f>
        <v>-97.5</v>
      </c>
      <c r="J44" s="165"/>
      <c r="K44" s="165">
        <v>0</v>
      </c>
      <c r="L44" s="165">
        <f>#N/A</f>
        <v>0</v>
      </c>
      <c r="M44" s="218"/>
      <c r="N44" s="164" t="e">
        <f>E44-#REF!</f>
        <v>#REF!</v>
      </c>
      <c r="O44" s="168" t="e">
        <f>F44-#REF!</f>
        <v>#REF!</v>
      </c>
      <c r="P44" s="167"/>
      <c r="Q44" s="165"/>
      <c r="R44" s="37"/>
      <c r="S44" s="94"/>
      <c r="T44" s="147">
        <f>#N/A</f>
        <v>90.7</v>
      </c>
    </row>
    <row r="45" spans="1:20" s="6" customFormat="1" ht="30.75">
      <c r="A45" s="8"/>
      <c r="B45" s="148" t="s">
        <v>105</v>
      </c>
      <c r="C45" s="49">
        <v>22010300</v>
      </c>
      <c r="D45" s="150">
        <v>730</v>
      </c>
      <c r="E45" s="150">
        <v>60</v>
      </c>
      <c r="F45" s="156">
        <v>89.45</v>
      </c>
      <c r="G45" s="162">
        <f>#N/A</f>
        <v>29.450000000000003</v>
      </c>
      <c r="H45" s="164">
        <f>#N/A</f>
        <v>149.08333333333334</v>
      </c>
      <c r="I45" s="165">
        <f>#N/A</f>
        <v>-640.55</v>
      </c>
      <c r="J45" s="165">
        <f>#N/A</f>
        <v>12.253424657534246</v>
      </c>
      <c r="K45" s="165">
        <v>0</v>
      </c>
      <c r="L45" s="165">
        <f>#N/A</f>
        <v>89.45</v>
      </c>
      <c r="M45" s="218"/>
      <c r="N45" s="164" t="e">
        <f>E45-#REF!</f>
        <v>#REF!</v>
      </c>
      <c r="O45" s="168" t="e">
        <f>F45-#REF!</f>
        <v>#REF!</v>
      </c>
      <c r="P45" s="167" t="e">
        <f>#N/A</f>
        <v>#REF!</v>
      </c>
      <c r="Q45" s="165" t="e">
        <f>#N/A</f>
        <v>#REF!</v>
      </c>
      <c r="R45" s="37"/>
      <c r="S45" s="94"/>
      <c r="T45" s="147">
        <f>#N/A</f>
        <v>670</v>
      </c>
    </row>
    <row r="46" spans="1:20" s="6" customFormat="1" ht="18" hidden="1">
      <c r="A46" s="8"/>
      <c r="B46" s="130"/>
      <c r="C46" s="49"/>
      <c r="D46" s="150"/>
      <c r="E46" s="150"/>
      <c r="F46" s="156"/>
      <c r="G46" s="162"/>
      <c r="H46" s="164"/>
      <c r="I46" s="165"/>
      <c r="J46" s="165"/>
      <c r="K46" s="165"/>
      <c r="L46" s="165">
        <f>#N/A</f>
        <v>0</v>
      </c>
      <c r="M46" s="218" t="e">
        <f>#N/A</f>
        <v>#DIV/0!</v>
      </c>
      <c r="N46" s="164" t="e">
        <f>E46-#REF!</f>
        <v>#REF!</v>
      </c>
      <c r="O46" s="168" t="e">
        <f>F46-#REF!</f>
        <v>#REF!</v>
      </c>
      <c r="P46" s="167"/>
      <c r="Q46" s="165"/>
      <c r="R46" s="37"/>
      <c r="S46" s="94"/>
      <c r="T46" s="147">
        <f>#N/A</f>
        <v>0</v>
      </c>
    </row>
    <row r="47" spans="1:20" s="6" customFormat="1" ht="18">
      <c r="A47" s="8"/>
      <c r="B47" s="33" t="s">
        <v>78</v>
      </c>
      <c r="C47" s="72">
        <v>22012500</v>
      </c>
      <c r="D47" s="150">
        <v>11000</v>
      </c>
      <c r="E47" s="150">
        <v>600</v>
      </c>
      <c r="F47" s="156">
        <v>1052.56</v>
      </c>
      <c r="G47" s="162">
        <f>#N/A</f>
        <v>452.55999999999995</v>
      </c>
      <c r="H47" s="164">
        <f>#N/A</f>
        <v>175.42666666666668</v>
      </c>
      <c r="I47" s="165">
        <f>#N/A</f>
        <v>-9947.44</v>
      </c>
      <c r="J47" s="165">
        <f>#N/A</f>
        <v>9.568727272727271</v>
      </c>
      <c r="K47" s="165">
        <v>539.02</v>
      </c>
      <c r="L47" s="165">
        <f>#N/A</f>
        <v>513.54</v>
      </c>
      <c r="M47" s="218">
        <f>#N/A</f>
        <v>1.9527290267522541</v>
      </c>
      <c r="N47" s="164" t="e">
        <f>E47-#REF!</f>
        <v>#REF!</v>
      </c>
      <c r="O47" s="168" t="e">
        <f>F47-#REF!</f>
        <v>#REF!</v>
      </c>
      <c r="P47" s="167" t="e">
        <f>#N/A</f>
        <v>#REF!</v>
      </c>
      <c r="Q47" s="165" t="e">
        <f>#N/A</f>
        <v>#REF!</v>
      </c>
      <c r="R47" s="37"/>
      <c r="S47" s="94"/>
      <c r="T47" s="147">
        <f>#N/A</f>
        <v>10400</v>
      </c>
    </row>
    <row r="48" spans="1:20" s="6" customFormat="1" ht="31.5">
      <c r="A48" s="8"/>
      <c r="B48" s="149" t="s">
        <v>99</v>
      </c>
      <c r="C48" s="72">
        <v>22012600</v>
      </c>
      <c r="D48" s="150">
        <v>310</v>
      </c>
      <c r="E48" s="150">
        <v>25</v>
      </c>
      <c r="F48" s="156">
        <v>44.53</v>
      </c>
      <c r="G48" s="162">
        <f>#N/A</f>
        <v>19.53</v>
      </c>
      <c r="H48" s="164">
        <f>#N/A</f>
        <v>178.12</v>
      </c>
      <c r="I48" s="165">
        <f>#N/A</f>
        <v>-265.47</v>
      </c>
      <c r="J48" s="165">
        <f>#N/A</f>
        <v>14.364516129032259</v>
      </c>
      <c r="K48" s="165">
        <v>1.03</v>
      </c>
      <c r="L48" s="165">
        <f>#N/A</f>
        <v>43.5</v>
      </c>
      <c r="M48" s="218"/>
      <c r="N48" s="164" t="e">
        <f>E48-#REF!</f>
        <v>#REF!</v>
      </c>
      <c r="O48" s="168" t="e">
        <f>F48-#REF!</f>
        <v>#REF!</v>
      </c>
      <c r="P48" s="167" t="e">
        <f>#N/A</f>
        <v>#REF!</v>
      </c>
      <c r="Q48" s="165"/>
      <c r="R48" s="37"/>
      <c r="S48" s="94"/>
      <c r="T48" s="147">
        <f>#N/A</f>
        <v>285</v>
      </c>
    </row>
    <row r="49" spans="1:20" s="6" customFormat="1" ht="31.5">
      <c r="A49" s="8"/>
      <c r="B49" s="149" t="s">
        <v>106</v>
      </c>
      <c r="C49" s="72">
        <v>22012900</v>
      </c>
      <c r="D49" s="150">
        <v>20</v>
      </c>
      <c r="E49" s="150">
        <v>1</v>
      </c>
      <c r="F49" s="156">
        <v>0</v>
      </c>
      <c r="G49" s="162">
        <f>#N/A</f>
        <v>-1</v>
      </c>
      <c r="H49" s="164">
        <f>#N/A</f>
        <v>0</v>
      </c>
      <c r="I49" s="165">
        <f>#N/A</f>
        <v>-20</v>
      </c>
      <c r="J49" s="165">
        <f>#N/A</f>
        <v>0</v>
      </c>
      <c r="K49" s="165">
        <v>0</v>
      </c>
      <c r="L49" s="165">
        <f>#N/A</f>
        <v>0</v>
      </c>
      <c r="M49" s="218"/>
      <c r="N49" s="164" t="e">
        <f>E49-#REF!</f>
        <v>#REF!</v>
      </c>
      <c r="O49" s="168" t="e">
        <f>F49-#REF!</f>
        <v>#REF!</v>
      </c>
      <c r="P49" s="167" t="e">
        <f>#N/A</f>
        <v>#REF!</v>
      </c>
      <c r="Q49" s="165" t="e">
        <f>#N/A</f>
        <v>#REF!</v>
      </c>
      <c r="R49" s="37"/>
      <c r="S49" s="94"/>
      <c r="T49" s="147">
        <f>#N/A</f>
        <v>19</v>
      </c>
    </row>
    <row r="50" spans="1:20" s="6" customFormat="1" ht="30.75">
      <c r="A50" s="8"/>
      <c r="B50" s="130" t="s">
        <v>14</v>
      </c>
      <c r="C50" s="49">
        <v>22080400</v>
      </c>
      <c r="D50" s="150">
        <v>7275</v>
      </c>
      <c r="E50" s="150">
        <v>600</v>
      </c>
      <c r="F50" s="156">
        <v>684.99</v>
      </c>
      <c r="G50" s="162">
        <f>#N/A</f>
        <v>84.99000000000001</v>
      </c>
      <c r="H50" s="164">
        <f>#N/A</f>
        <v>114.165</v>
      </c>
      <c r="I50" s="165">
        <f>#N/A</f>
        <v>-6590.01</v>
      </c>
      <c r="J50" s="165">
        <f>#N/A</f>
        <v>9.415670103092785</v>
      </c>
      <c r="K50" s="165">
        <v>716.23</v>
      </c>
      <c r="L50" s="165">
        <f>#N/A</f>
        <v>-31.24000000000001</v>
      </c>
      <c r="M50" s="218">
        <f>#N/A</f>
        <v>0.9563827262192313</v>
      </c>
      <c r="N50" s="164" t="e">
        <f>E50-#REF!</f>
        <v>#REF!</v>
      </c>
      <c r="O50" s="168" t="e">
        <f>F50-#REF!</f>
        <v>#REF!</v>
      </c>
      <c r="P50" s="167" t="e">
        <f>#N/A</f>
        <v>#REF!</v>
      </c>
      <c r="Q50" s="165" t="e">
        <f>#N/A</f>
        <v>#REF!</v>
      </c>
      <c r="R50" s="37"/>
      <c r="S50" s="94"/>
      <c r="T50" s="147">
        <f>#N/A</f>
        <v>6675</v>
      </c>
    </row>
    <row r="51" spans="1:20" s="6" customFormat="1" ht="18">
      <c r="A51" s="8"/>
      <c r="B51" s="130" t="s">
        <v>15</v>
      </c>
      <c r="C51" s="43">
        <v>22090000</v>
      </c>
      <c r="D51" s="150">
        <v>1200</v>
      </c>
      <c r="E51" s="150">
        <v>55</v>
      </c>
      <c r="F51" s="156">
        <v>40.09</v>
      </c>
      <c r="G51" s="162">
        <f>#N/A</f>
        <v>-14.909999999999997</v>
      </c>
      <c r="H51" s="164">
        <f>#N/A</f>
        <v>72.89090909090909</v>
      </c>
      <c r="I51" s="165">
        <f>#N/A</f>
        <v>-1159.91</v>
      </c>
      <c r="J51" s="165">
        <f>#N/A</f>
        <v>3.3408333333333338</v>
      </c>
      <c r="K51" s="165">
        <v>408.2</v>
      </c>
      <c r="L51" s="165">
        <f>#N/A</f>
        <v>-368.11</v>
      </c>
      <c r="M51" s="218">
        <f>#N/A</f>
        <v>0.09821166095051446</v>
      </c>
      <c r="N51" s="164" t="e">
        <f>E51-#REF!</f>
        <v>#REF!</v>
      </c>
      <c r="O51" s="168" t="e">
        <f>F51-#REF!</f>
        <v>#REF!</v>
      </c>
      <c r="P51" s="167" t="e">
        <f>#N/A</f>
        <v>#REF!</v>
      </c>
      <c r="Q51" s="165" t="e">
        <f>#N/A</f>
        <v>#REF!</v>
      </c>
      <c r="R51" s="37"/>
      <c r="S51" s="94"/>
      <c r="T51" s="147">
        <f>#N/A</f>
        <v>1145</v>
      </c>
    </row>
    <row r="52" spans="1:20" s="6" customFormat="1" ht="15" hidden="1">
      <c r="A52" s="8"/>
      <c r="B52" s="50" t="s">
        <v>97</v>
      </c>
      <c r="C52" s="123">
        <v>22090100</v>
      </c>
      <c r="D52" s="103">
        <v>998</v>
      </c>
      <c r="E52" s="103">
        <v>40</v>
      </c>
      <c r="F52" s="140">
        <v>32.81</v>
      </c>
      <c r="G52" s="34">
        <f>#N/A</f>
        <v>-7.189999999999998</v>
      </c>
      <c r="H52" s="30">
        <f>#N/A</f>
        <v>82.025</v>
      </c>
      <c r="I52" s="104">
        <f>#N/A</f>
        <v>-965.19</v>
      </c>
      <c r="J52" s="104">
        <f>#N/A</f>
        <v>3.287575150300601</v>
      </c>
      <c r="K52" s="104">
        <v>25.99</v>
      </c>
      <c r="L52" s="104">
        <f>F52-K52</f>
        <v>6.820000000000004</v>
      </c>
      <c r="M52" s="109">
        <f>#N/A</f>
        <v>1.2624086186995</v>
      </c>
      <c r="N52" s="105" t="e">
        <f>E52-#REF!</f>
        <v>#REF!</v>
      </c>
      <c r="O52" s="144" t="e">
        <f>F52-#REF!</f>
        <v>#REF!</v>
      </c>
      <c r="P52" s="106" t="e">
        <f>#N/A</f>
        <v>#REF!</v>
      </c>
      <c r="Q52" s="119" t="e">
        <f>#N/A</f>
        <v>#REF!</v>
      </c>
      <c r="R52" s="37"/>
      <c r="S52" s="94"/>
      <c r="T52" s="147">
        <f>#N/A</f>
        <v>958</v>
      </c>
    </row>
    <row r="53" spans="1:20" s="6" customFormat="1" ht="15" hidden="1">
      <c r="A53" s="8"/>
      <c r="B53" s="50" t="s">
        <v>94</v>
      </c>
      <c r="C53" s="123">
        <v>22090200</v>
      </c>
      <c r="D53" s="103">
        <v>1</v>
      </c>
      <c r="E53" s="103">
        <v>0</v>
      </c>
      <c r="F53" s="140">
        <v>0.01</v>
      </c>
      <c r="G53" s="34">
        <f>#N/A</f>
        <v>0.01</v>
      </c>
      <c r="H53" s="30" t="e">
        <f>#N/A</f>
        <v>#DIV/0!</v>
      </c>
      <c r="I53" s="104">
        <f>#N/A</f>
        <v>-0.99</v>
      </c>
      <c r="J53" s="104">
        <f>#N/A</f>
        <v>1</v>
      </c>
      <c r="K53" s="104">
        <v>0.04</v>
      </c>
      <c r="L53" s="104">
        <f>F53-K53</f>
        <v>-0.03</v>
      </c>
      <c r="M53" s="109">
        <f>#N/A</f>
        <v>0.25</v>
      </c>
      <c r="N53" s="105" t="e">
        <f>E53-#REF!</f>
        <v>#REF!</v>
      </c>
      <c r="O53" s="144" t="e">
        <f>F53-#REF!</f>
        <v>#REF!</v>
      </c>
      <c r="P53" s="106" t="e">
        <f>#N/A</f>
        <v>#REF!</v>
      </c>
      <c r="Q53" s="119" t="e">
        <f>#N/A</f>
        <v>#REF!</v>
      </c>
      <c r="R53" s="37"/>
      <c r="S53" s="94"/>
      <c r="T53" s="147">
        <f>#N/A</f>
        <v>1</v>
      </c>
    </row>
    <row r="54" spans="1:20" s="6" customFormat="1" ht="15" hidden="1">
      <c r="A54" s="8"/>
      <c r="B54" s="50" t="s">
        <v>95</v>
      </c>
      <c r="C54" s="123">
        <v>22090300</v>
      </c>
      <c r="D54" s="103">
        <v>1</v>
      </c>
      <c r="E54" s="103">
        <v>0</v>
      </c>
      <c r="F54" s="140">
        <v>0</v>
      </c>
      <c r="G54" s="34">
        <f>#N/A</f>
        <v>0</v>
      </c>
      <c r="H54" s="30"/>
      <c r="I54" s="104">
        <f>#N/A</f>
        <v>-1</v>
      </c>
      <c r="J54" s="104">
        <f>#N/A</f>
        <v>0</v>
      </c>
      <c r="K54" s="104">
        <v>0</v>
      </c>
      <c r="L54" s="104">
        <f>F54-K54</f>
        <v>0</v>
      </c>
      <c r="M54" s="109" t="e">
        <f>#N/A</f>
        <v>#DIV/0!</v>
      </c>
      <c r="N54" s="105" t="e">
        <f>E54-#REF!</f>
        <v>#REF!</v>
      </c>
      <c r="O54" s="144" t="e">
        <f>F54-#REF!</f>
        <v>#REF!</v>
      </c>
      <c r="P54" s="106" t="e">
        <f>#N/A</f>
        <v>#REF!</v>
      </c>
      <c r="Q54" s="119"/>
      <c r="R54" s="37"/>
      <c r="S54" s="94"/>
      <c r="T54" s="147">
        <f>#N/A</f>
        <v>1</v>
      </c>
    </row>
    <row r="55" spans="1:20" s="6" customFormat="1" ht="15" hidden="1">
      <c r="A55" s="8"/>
      <c r="B55" s="50" t="s">
        <v>96</v>
      </c>
      <c r="C55" s="123">
        <v>22090400</v>
      </c>
      <c r="D55" s="103">
        <v>200</v>
      </c>
      <c r="E55" s="103">
        <v>15</v>
      </c>
      <c r="F55" s="140">
        <v>7.27</v>
      </c>
      <c r="G55" s="34">
        <f>#N/A</f>
        <v>-7.73</v>
      </c>
      <c r="H55" s="30">
        <f>#N/A</f>
        <v>48.46666666666666</v>
      </c>
      <c r="I55" s="104">
        <f>#N/A</f>
        <v>-192.73</v>
      </c>
      <c r="J55" s="104">
        <f>#N/A</f>
        <v>3.6350000000000002</v>
      </c>
      <c r="K55" s="104">
        <v>382.17</v>
      </c>
      <c r="L55" s="104">
        <f>F55-K55</f>
        <v>-374.90000000000003</v>
      </c>
      <c r="M55" s="109">
        <f>#N/A</f>
        <v>0.019022947902765784</v>
      </c>
      <c r="N55" s="105" t="e">
        <f>E55-#REF!</f>
        <v>#REF!</v>
      </c>
      <c r="O55" s="144" t="e">
        <f>F55-#REF!</f>
        <v>#REF!</v>
      </c>
      <c r="P55" s="106" t="e">
        <f>#N/A</f>
        <v>#REF!</v>
      </c>
      <c r="Q55" s="119" t="e">
        <f>#N/A</f>
        <v>#REF!</v>
      </c>
      <c r="R55" s="37"/>
      <c r="S55" s="94"/>
      <c r="T55" s="147">
        <f>#N/A</f>
        <v>185</v>
      </c>
    </row>
    <row r="56" spans="1:20" s="6" customFormat="1" ht="46.5">
      <c r="A56" s="8"/>
      <c r="B56" s="13" t="s">
        <v>17</v>
      </c>
      <c r="C56" s="11" t="s">
        <v>18</v>
      </c>
      <c r="D56" s="150">
        <v>2.5</v>
      </c>
      <c r="E56" s="150">
        <v>0</v>
      </c>
      <c r="F56" s="156">
        <v>1.67</v>
      </c>
      <c r="G56" s="162">
        <f>#N/A</f>
        <v>1.67</v>
      </c>
      <c r="H56" s="164"/>
      <c r="I56" s="165">
        <f>#N/A</f>
        <v>-0.8300000000000001</v>
      </c>
      <c r="J56" s="165">
        <f>#N/A</f>
        <v>66.8</v>
      </c>
      <c r="K56" s="165">
        <v>0.17</v>
      </c>
      <c r="L56" s="165">
        <f>F56-K56</f>
        <v>1.5</v>
      </c>
      <c r="M56" s="218">
        <f>#N/A</f>
        <v>9.823529411764705</v>
      </c>
      <c r="N56" s="164" t="e">
        <f>E56-#REF!</f>
        <v>#REF!</v>
      </c>
      <c r="O56" s="168" t="e">
        <f>F56-#REF!</f>
        <v>#REF!</v>
      </c>
      <c r="P56" s="167" t="e">
        <f>#N/A</f>
        <v>#REF!</v>
      </c>
      <c r="Q56" s="165"/>
      <c r="R56" s="37"/>
      <c r="S56" s="94"/>
      <c r="T56" s="147">
        <f>#N/A</f>
        <v>2.5</v>
      </c>
    </row>
    <row r="57" spans="1:20" s="6" customFormat="1" ht="15.75" customHeight="1">
      <c r="A57" s="8"/>
      <c r="B57" s="131" t="s">
        <v>13</v>
      </c>
      <c r="C57" s="11" t="s">
        <v>19</v>
      </c>
      <c r="D57" s="150">
        <v>7350</v>
      </c>
      <c r="E57" s="150">
        <f>600+1000</f>
        <v>1600</v>
      </c>
      <c r="F57" s="156">
        <v>2247.33</v>
      </c>
      <c r="G57" s="162">
        <f>#N/A</f>
        <v>647.3299999999999</v>
      </c>
      <c r="H57" s="164">
        <f>#N/A</f>
        <v>140.458125</v>
      </c>
      <c r="I57" s="165">
        <f>#N/A</f>
        <v>-5102.67</v>
      </c>
      <c r="J57" s="165">
        <f>#N/A</f>
        <v>30.575918367346937</v>
      </c>
      <c r="K57" s="165">
        <v>317.98</v>
      </c>
      <c r="L57" s="165">
        <f>#N/A</f>
        <v>1929.35</v>
      </c>
      <c r="M57" s="218">
        <f>#N/A</f>
        <v>7.067519969809421</v>
      </c>
      <c r="N57" s="164" t="e">
        <f>E57-#REF!</f>
        <v>#REF!</v>
      </c>
      <c r="O57" s="168" t="e">
        <f>F57-#REF!</f>
        <v>#REF!</v>
      </c>
      <c r="P57" s="167" t="e">
        <f>#N/A</f>
        <v>#REF!</v>
      </c>
      <c r="Q57" s="165" t="e">
        <f>#N/A</f>
        <v>#REF!</v>
      </c>
      <c r="R57" s="37"/>
      <c r="S57" s="94"/>
      <c r="T57" s="147">
        <f>#N/A</f>
        <v>5750</v>
      </c>
    </row>
    <row r="58" spans="1:20" s="6" customFormat="1" ht="18" hidden="1">
      <c r="A58" s="8"/>
      <c r="B58" s="12" t="s">
        <v>22</v>
      </c>
      <c r="C58" s="61" t="s">
        <v>23</v>
      </c>
      <c r="D58" s="31">
        <v>0</v>
      </c>
      <c r="E58" s="31">
        <v>0</v>
      </c>
      <c r="F58" s="139">
        <v>0</v>
      </c>
      <c r="G58" s="162">
        <f>#N/A</f>
        <v>0</v>
      </c>
      <c r="H58" s="164" t="e">
        <f>#N/A</f>
        <v>#DIV/0!</v>
      </c>
      <c r="I58" s="165">
        <f>#N/A</f>
        <v>0</v>
      </c>
      <c r="J58" s="165" t="e">
        <f>#N/A</f>
        <v>#DIV/0!</v>
      </c>
      <c r="K58" s="165"/>
      <c r="L58" s="165">
        <f>#N/A</f>
        <v>0</v>
      </c>
      <c r="M58" s="218" t="e">
        <f>#N/A</f>
        <v>#DIV/0!</v>
      </c>
      <c r="N58" s="164" t="e">
        <f>E58-#REF!</f>
        <v>#REF!</v>
      </c>
      <c r="O58" s="168" t="e">
        <f>F58-#REF!</f>
        <v>#REF!</v>
      </c>
      <c r="P58" s="167" t="e">
        <f>#N/A</f>
        <v>#REF!</v>
      </c>
      <c r="Q58" s="165" t="e">
        <f>#N/A</f>
        <v>#REF!</v>
      </c>
      <c r="R58" s="37"/>
      <c r="S58" s="94"/>
      <c r="T58" s="147">
        <f>#N/A</f>
        <v>0</v>
      </c>
    </row>
    <row r="59" spans="1:20" s="6" customFormat="1" ht="30.75">
      <c r="A59" s="8"/>
      <c r="B59" s="50" t="s">
        <v>42</v>
      </c>
      <c r="C59" s="61"/>
      <c r="D59" s="103"/>
      <c r="E59" s="103"/>
      <c r="F59" s="201">
        <v>167.21</v>
      </c>
      <c r="G59" s="162"/>
      <c r="H59" s="164"/>
      <c r="I59" s="165"/>
      <c r="J59" s="165"/>
      <c r="K59" s="166">
        <v>70.16</v>
      </c>
      <c r="L59" s="165">
        <f>#N/A</f>
        <v>97.05000000000001</v>
      </c>
      <c r="M59" s="218">
        <f>#N/A</f>
        <v>2.3832668187001143</v>
      </c>
      <c r="N59" s="164"/>
      <c r="O59" s="179" t="e">
        <f>F59-#REF!</f>
        <v>#REF!</v>
      </c>
      <c r="P59" s="166"/>
      <c r="Q59" s="165"/>
      <c r="R59" s="37"/>
      <c r="S59" s="94"/>
      <c r="T59" s="147">
        <f>#N/A</f>
        <v>0</v>
      </c>
    </row>
    <row r="60" spans="1:20" s="6" customFormat="1" ht="18" hidden="1">
      <c r="A60" s="8"/>
      <c r="B60" s="131" t="s">
        <v>20</v>
      </c>
      <c r="C60" s="128" t="s">
        <v>21</v>
      </c>
      <c r="D60" s="34">
        <v>0</v>
      </c>
      <c r="E60" s="34">
        <v>0</v>
      </c>
      <c r="F60" s="141">
        <v>0</v>
      </c>
      <c r="G60" s="162">
        <f>#N/A</f>
        <v>0</v>
      </c>
      <c r="H60" s="164"/>
      <c r="I60" s="165">
        <f>#N/A</f>
        <v>0</v>
      </c>
      <c r="J60" s="165"/>
      <c r="K60" s="166"/>
      <c r="L60" s="165">
        <f>#N/A</f>
        <v>0</v>
      </c>
      <c r="M60" s="218" t="e">
        <f>#N/A</f>
        <v>#DIV/0!</v>
      </c>
      <c r="N60" s="164" t="e">
        <f>E60-#REF!</f>
        <v>#REF!</v>
      </c>
      <c r="O60" s="168" t="e">
        <f>F60-#REF!</f>
        <v>#REF!</v>
      </c>
      <c r="P60" s="167" t="e">
        <f>#N/A</f>
        <v>#REF!</v>
      </c>
      <c r="Q60" s="165"/>
      <c r="R60" s="37"/>
      <c r="S60" s="94"/>
      <c r="T60" s="147">
        <f>#N/A</f>
        <v>0</v>
      </c>
    </row>
    <row r="61" spans="1:20" s="6" customFormat="1" ht="44.25" customHeight="1">
      <c r="A61" s="8"/>
      <c r="B61" s="131" t="s">
        <v>43</v>
      </c>
      <c r="C61" s="43">
        <v>24061900</v>
      </c>
      <c r="D61" s="150">
        <v>160</v>
      </c>
      <c r="E61" s="150">
        <v>10</v>
      </c>
      <c r="F61" s="156">
        <v>32.89</v>
      </c>
      <c r="G61" s="162">
        <f>#N/A</f>
        <v>22.89</v>
      </c>
      <c r="H61" s="164">
        <f>#N/A</f>
        <v>328.90000000000003</v>
      </c>
      <c r="I61" s="165">
        <f>#N/A</f>
        <v>-127.11</v>
      </c>
      <c r="J61" s="165">
        <f>#N/A</f>
        <v>20.556250000000002</v>
      </c>
      <c r="K61" s="165">
        <v>32.19</v>
      </c>
      <c r="L61" s="165">
        <f>#N/A</f>
        <v>0.7000000000000028</v>
      </c>
      <c r="M61" s="218">
        <f>#N/A</f>
        <v>1.0217458838148494</v>
      </c>
      <c r="N61" s="164" t="e">
        <f>E61-#REF!</f>
        <v>#REF!</v>
      </c>
      <c r="O61" s="168" t="e">
        <f>F61-#REF!</f>
        <v>#REF!</v>
      </c>
      <c r="P61" s="167" t="e">
        <f>#N/A</f>
        <v>#REF!</v>
      </c>
      <c r="Q61" s="165"/>
      <c r="R61" s="37"/>
      <c r="S61" s="94"/>
      <c r="T61" s="147">
        <f>#N/A</f>
        <v>150</v>
      </c>
    </row>
    <row r="62" spans="1:20" s="6" customFormat="1" ht="18">
      <c r="A62" s="8"/>
      <c r="B62" s="12" t="s">
        <v>44</v>
      </c>
      <c r="C62" s="43">
        <v>31010200</v>
      </c>
      <c r="D62" s="150">
        <v>15</v>
      </c>
      <c r="E62" s="150">
        <v>1.2</v>
      </c>
      <c r="F62" s="156">
        <v>1.49</v>
      </c>
      <c r="G62" s="162">
        <f>#N/A</f>
        <v>0.29000000000000004</v>
      </c>
      <c r="H62" s="164">
        <f>#N/A</f>
        <v>124.16666666666667</v>
      </c>
      <c r="I62" s="165">
        <f>#N/A</f>
        <v>-13.51</v>
      </c>
      <c r="J62" s="165">
        <f>#N/A</f>
        <v>9.933333333333334</v>
      </c>
      <c r="K62" s="165">
        <v>1</v>
      </c>
      <c r="L62" s="165">
        <f>#N/A</f>
        <v>0.49</v>
      </c>
      <c r="M62" s="218">
        <f>#N/A</f>
        <v>1.49</v>
      </c>
      <c r="N62" s="164" t="e">
        <f>E62-#REF!</f>
        <v>#REF!</v>
      </c>
      <c r="O62" s="168" t="e">
        <f>F62-#REF!</f>
        <v>#REF!</v>
      </c>
      <c r="P62" s="167" t="e">
        <f>#N/A</f>
        <v>#REF!</v>
      </c>
      <c r="Q62" s="165" t="e">
        <f>#N/A</f>
        <v>#REF!</v>
      </c>
      <c r="R62" s="37"/>
      <c r="S62" s="94"/>
      <c r="T62" s="147">
        <f>#N/A</f>
        <v>13.8</v>
      </c>
    </row>
    <row r="63" spans="1:20" s="6" customFormat="1" ht="30.75" hidden="1">
      <c r="A63" s="8"/>
      <c r="B63" s="234" t="s">
        <v>57</v>
      </c>
      <c r="C63" s="43">
        <v>31020000</v>
      </c>
      <c r="D63" s="150">
        <v>0</v>
      </c>
      <c r="E63" s="150">
        <v>0</v>
      </c>
      <c r="F63" s="156">
        <v>0</v>
      </c>
      <c r="G63" s="162">
        <f>#N/A</f>
        <v>0</v>
      </c>
      <c r="H63" s="164"/>
      <c r="I63" s="165">
        <f>#N/A</f>
        <v>0</v>
      </c>
      <c r="J63" s="165"/>
      <c r="K63" s="165">
        <v>0.54</v>
      </c>
      <c r="L63" s="165">
        <f>#N/A</f>
        <v>-0.54</v>
      </c>
      <c r="M63" s="218">
        <f>#N/A</f>
        <v>0</v>
      </c>
      <c r="N63" s="164" t="e">
        <f>E63-#REF!</f>
        <v>#REF!</v>
      </c>
      <c r="O63" s="168" t="e">
        <f>F63-#REF!</f>
        <v>#REF!</v>
      </c>
      <c r="P63" s="167" t="e">
        <f>#N/A</f>
        <v>#REF!</v>
      </c>
      <c r="Q63" s="165"/>
      <c r="R63" s="37"/>
      <c r="S63" s="94"/>
      <c r="T63" s="147">
        <f>#N/A</f>
        <v>0</v>
      </c>
    </row>
    <row r="64" spans="1:21" s="6" customFormat="1" ht="18">
      <c r="A64" s="9"/>
      <c r="B64" s="14" t="s">
        <v>28</v>
      </c>
      <c r="C64" s="62"/>
      <c r="D64" s="151">
        <f>D8+D38+D62+D63</f>
        <v>1357491.1</v>
      </c>
      <c r="E64" s="151">
        <f>E8+E38+E62+E63</f>
        <v>97356.5</v>
      </c>
      <c r="F64" s="151">
        <f>F8+F38+F62+F63</f>
        <v>98086.19</v>
      </c>
      <c r="G64" s="151">
        <f>F64-E64</f>
        <v>729.6900000000023</v>
      </c>
      <c r="H64" s="152">
        <f>F64/E64*100</f>
        <v>100.7495031148408</v>
      </c>
      <c r="I64" s="153">
        <f>F64-D64</f>
        <v>-1259404.9100000001</v>
      </c>
      <c r="J64" s="153">
        <f>F64/D64*100</f>
        <v>7.225549397708758</v>
      </c>
      <c r="K64" s="153">
        <v>62612.59</v>
      </c>
      <c r="L64" s="153">
        <f>F64-K64</f>
        <v>35473.600000000006</v>
      </c>
      <c r="M64" s="219">
        <f>F64/K64</f>
        <v>1.5665569815910827</v>
      </c>
      <c r="N64" s="151" t="e">
        <f>N8+N38+N62+N63</f>
        <v>#REF!</v>
      </c>
      <c r="O64" s="151" t="e">
        <f>O8+O38+O62+O63</f>
        <v>#REF!</v>
      </c>
      <c r="P64" s="155" t="e">
        <f>O64-N64</f>
        <v>#REF!</v>
      </c>
      <c r="Q64" s="153" t="e">
        <f>O64/N64*100</f>
        <v>#REF!</v>
      </c>
      <c r="R64" s="27" t="e">
        <f>O64-34768</f>
        <v>#REF!</v>
      </c>
      <c r="S64" s="115" t="e">
        <f>O64/34768</f>
        <v>#REF!</v>
      </c>
      <c r="T64" s="147">
        <f>#N/A</f>
        <v>1260134.6</v>
      </c>
      <c r="U64" s="132"/>
    </row>
    <row r="65" spans="1:20" s="48" customFormat="1" ht="17.25" hidden="1">
      <c r="A65" s="45"/>
      <c r="B65" s="55"/>
      <c r="C65" s="63"/>
      <c r="D65" s="46"/>
      <c r="E65" s="46"/>
      <c r="F65" s="82"/>
      <c r="G65" s="77"/>
      <c r="H65" s="47"/>
      <c r="I65" s="54"/>
      <c r="J65" s="35"/>
      <c r="K65" s="35"/>
      <c r="L65" s="35"/>
      <c r="M65" s="35"/>
      <c r="N65" s="47"/>
      <c r="O65" s="46"/>
      <c r="P65" s="79"/>
      <c r="Q65" s="35"/>
      <c r="R65" s="35"/>
      <c r="S65" s="96"/>
      <c r="T65" s="147">
        <f>#N/A</f>
        <v>0</v>
      </c>
    </row>
    <row r="66" spans="1:20" s="48" customFormat="1" ht="17.25" hidden="1">
      <c r="A66" s="45"/>
      <c r="B66" s="56"/>
      <c r="C66" s="63"/>
      <c r="D66" s="57"/>
      <c r="E66" s="46"/>
      <c r="F66" s="82"/>
      <c r="G66" s="40"/>
      <c r="H66" s="47"/>
      <c r="I66" s="58"/>
      <c r="J66" s="35"/>
      <c r="K66" s="35"/>
      <c r="L66" s="35"/>
      <c r="M66" s="35"/>
      <c r="N66" s="30"/>
      <c r="O66" s="46"/>
      <c r="P66" s="59"/>
      <c r="Q66" s="35"/>
      <c r="R66" s="35"/>
      <c r="S66" s="96"/>
      <c r="T66" s="147">
        <f>#N/A</f>
        <v>0</v>
      </c>
    </row>
    <row r="67" spans="1:20" s="48" customFormat="1" ht="17.25" hidden="1">
      <c r="A67" s="45"/>
      <c r="B67" s="56"/>
      <c r="C67" s="63"/>
      <c r="D67" s="57"/>
      <c r="E67" s="34"/>
      <c r="F67" s="111"/>
      <c r="G67" s="40"/>
      <c r="H67" s="47"/>
      <c r="I67" s="58"/>
      <c r="J67" s="35"/>
      <c r="K67" s="35"/>
      <c r="L67" s="35"/>
      <c r="M67" s="35"/>
      <c r="N67" s="30"/>
      <c r="O67" s="57"/>
      <c r="P67" s="79"/>
      <c r="Q67" s="35"/>
      <c r="R67" s="35"/>
      <c r="S67" s="96"/>
      <c r="T67" s="147">
        <f>#N/A</f>
        <v>0</v>
      </c>
    </row>
    <row r="68" spans="2:20" ht="15">
      <c r="B68" s="22" t="s">
        <v>108</v>
      </c>
      <c r="C68" s="64"/>
      <c r="D68" s="24"/>
      <c r="E68" s="24"/>
      <c r="F68" s="142"/>
      <c r="G68" s="34"/>
      <c r="H68" s="30"/>
      <c r="I68" s="38"/>
      <c r="J68" s="38"/>
      <c r="K68" s="38"/>
      <c r="L68" s="38"/>
      <c r="M68" s="38"/>
      <c r="N68" s="31"/>
      <c r="O68" s="146"/>
      <c r="P68" s="36"/>
      <c r="Q68" s="38"/>
      <c r="R68" s="38"/>
      <c r="S68" s="97"/>
      <c r="T68" s="147">
        <f>#N/A</f>
        <v>0</v>
      </c>
    </row>
    <row r="69" spans="2:20" ht="25.5" customHeight="1" hidden="1">
      <c r="B69" s="235" t="s">
        <v>100</v>
      </c>
      <c r="C69" s="135">
        <v>12020000</v>
      </c>
      <c r="D69" s="180">
        <v>0</v>
      </c>
      <c r="E69" s="180"/>
      <c r="F69" s="181">
        <v>0.01</v>
      </c>
      <c r="G69" s="162"/>
      <c r="H69" s="164"/>
      <c r="I69" s="167"/>
      <c r="J69" s="167"/>
      <c r="K69" s="167">
        <v>0.01</v>
      </c>
      <c r="L69" s="167">
        <f>F69-K69</f>
        <v>0</v>
      </c>
      <c r="M69" s="209">
        <f>F69/K69</f>
        <v>1</v>
      </c>
      <c r="N69" s="162"/>
      <c r="O69" s="182" t="e">
        <f>F69-#REF!</f>
        <v>#REF!</v>
      </c>
      <c r="P69" s="167"/>
      <c r="Q69" s="167"/>
      <c r="R69" s="38"/>
      <c r="S69" s="97"/>
      <c r="T69" s="147">
        <f>#N/A</f>
        <v>0</v>
      </c>
    </row>
    <row r="70" spans="2:20" ht="31.5" hidden="1">
      <c r="B70" s="236" t="s">
        <v>62</v>
      </c>
      <c r="C70" s="73">
        <v>18041500</v>
      </c>
      <c r="D70" s="180">
        <v>0</v>
      </c>
      <c r="E70" s="180"/>
      <c r="F70" s="181">
        <v>0</v>
      </c>
      <c r="G70" s="162">
        <f>F70-E70</f>
        <v>0</v>
      </c>
      <c r="H70" s="164"/>
      <c r="I70" s="167">
        <f>F70-D70</f>
        <v>0</v>
      </c>
      <c r="J70" s="167"/>
      <c r="K70" s="167">
        <v>-55.72</v>
      </c>
      <c r="L70" s="167">
        <f>F70-K70</f>
        <v>55.72</v>
      </c>
      <c r="M70" s="209">
        <f>F70/K70</f>
        <v>0</v>
      </c>
      <c r="N70" s="164"/>
      <c r="O70" s="182" t="e">
        <f>F70-#REF!</f>
        <v>#REF!</v>
      </c>
      <c r="P70" s="167" t="e">
        <f>O70-N70</f>
        <v>#REF!</v>
      </c>
      <c r="Q70" s="167"/>
      <c r="R70" s="38"/>
      <c r="S70" s="97"/>
      <c r="T70" s="147">
        <f>#N/A</f>
        <v>0</v>
      </c>
    </row>
    <row r="71" spans="2:20" ht="17.25">
      <c r="B71" s="28" t="s">
        <v>45</v>
      </c>
      <c r="C71" s="74"/>
      <c r="D71" s="183">
        <f>D70</f>
        <v>0</v>
      </c>
      <c r="E71" s="183">
        <f>E70</f>
        <v>0</v>
      </c>
      <c r="F71" s="184">
        <f>SUM(F69:F70)</f>
        <v>0.01</v>
      </c>
      <c r="G71" s="185">
        <f>F71-E71</f>
        <v>0.01</v>
      </c>
      <c r="H71" s="186"/>
      <c r="I71" s="187">
        <f>F71-D71</f>
        <v>0.01</v>
      </c>
      <c r="J71" s="187"/>
      <c r="K71" s="187">
        <v>8.48</v>
      </c>
      <c r="L71" s="187">
        <f>F71-K71</f>
        <v>-8.47</v>
      </c>
      <c r="M71" s="214">
        <f>F71/K71</f>
        <v>0.0011792452830188679</v>
      </c>
      <c r="N71" s="185">
        <f>N70</f>
        <v>0</v>
      </c>
      <c r="O71" s="188" t="e">
        <f>SUM(O69:O70)</f>
        <v>#REF!</v>
      </c>
      <c r="P71" s="187" t="e">
        <f>O71-N71</f>
        <v>#REF!</v>
      </c>
      <c r="Q71" s="187"/>
      <c r="R71" s="39"/>
      <c r="S71" s="98"/>
      <c r="T71" s="147">
        <f>#N/A</f>
        <v>0</v>
      </c>
    </row>
    <row r="72" spans="2:20" ht="45.75">
      <c r="B72" s="28" t="s">
        <v>37</v>
      </c>
      <c r="C72" s="135">
        <v>21110000</v>
      </c>
      <c r="D72" s="183">
        <v>0</v>
      </c>
      <c r="E72" s="183">
        <v>0</v>
      </c>
      <c r="F72" s="184">
        <v>11.81</v>
      </c>
      <c r="G72" s="185">
        <f>#N/A</f>
        <v>11.81</v>
      </c>
      <c r="H72" s="186"/>
      <c r="I72" s="187">
        <f>#N/A</f>
        <v>11.81</v>
      </c>
      <c r="J72" s="187"/>
      <c r="K72" s="187">
        <v>0</v>
      </c>
      <c r="L72" s="187">
        <f>#N/A</f>
        <v>11.81</v>
      </c>
      <c r="M72" s="209"/>
      <c r="N72" s="162">
        <v>0</v>
      </c>
      <c r="O72" s="182">
        <f>F72</f>
        <v>11.81</v>
      </c>
      <c r="P72" s="167" t="e">
        <f>#N/A</f>
        <v>#N/A</v>
      </c>
      <c r="Q72" s="167"/>
      <c r="R72" s="38"/>
      <c r="S72" s="97"/>
      <c r="T72" s="147">
        <f>#N/A</f>
        <v>0</v>
      </c>
    </row>
    <row r="73" spans="2:20" ht="31.5">
      <c r="B73" s="23" t="s">
        <v>29</v>
      </c>
      <c r="C73" s="73">
        <v>31030000</v>
      </c>
      <c r="D73" s="180">
        <v>4000</v>
      </c>
      <c r="E73" s="180">
        <v>0</v>
      </c>
      <c r="F73" s="181">
        <v>0.04</v>
      </c>
      <c r="G73" s="162">
        <f>#N/A</f>
        <v>0.04</v>
      </c>
      <c r="H73" s="164"/>
      <c r="I73" s="167">
        <f>#N/A</f>
        <v>-3999.96</v>
      </c>
      <c r="J73" s="167">
        <f>F73/D73*100</f>
        <v>0.001</v>
      </c>
      <c r="K73" s="167">
        <v>0.06</v>
      </c>
      <c r="L73" s="167">
        <f>#N/A</f>
        <v>-0.019999999999999997</v>
      </c>
      <c r="M73" s="209">
        <f>F73/K73</f>
        <v>0.6666666666666667</v>
      </c>
      <c r="N73" s="164" t="e">
        <f>E73-#REF!</f>
        <v>#REF!</v>
      </c>
      <c r="O73" s="168" t="e">
        <f>F73-#REF!</f>
        <v>#REF!</v>
      </c>
      <c r="P73" s="167" t="e">
        <f>#N/A</f>
        <v>#REF!</v>
      </c>
      <c r="Q73" s="167" t="e">
        <f>O73/N73*100</f>
        <v>#REF!</v>
      </c>
      <c r="R73" s="38"/>
      <c r="S73" s="97"/>
      <c r="T73" s="147">
        <f>#N/A</f>
        <v>4000</v>
      </c>
    </row>
    <row r="74" spans="2:20" ht="18">
      <c r="B74" s="23" t="s">
        <v>30</v>
      </c>
      <c r="C74" s="73">
        <v>33010000</v>
      </c>
      <c r="D74" s="180">
        <v>8000</v>
      </c>
      <c r="E74" s="180">
        <v>600</v>
      </c>
      <c r="F74" s="181">
        <v>1.9</v>
      </c>
      <c r="G74" s="162">
        <f>#N/A</f>
        <v>-598.1</v>
      </c>
      <c r="H74" s="164">
        <f>F74/E74*100</f>
        <v>0.31666666666666665</v>
      </c>
      <c r="I74" s="167">
        <f>#N/A</f>
        <v>-7998.1</v>
      </c>
      <c r="J74" s="167">
        <f>F74/D74*100</f>
        <v>0.02375</v>
      </c>
      <c r="K74" s="167">
        <v>22.91</v>
      </c>
      <c r="L74" s="167">
        <f>#N/A</f>
        <v>-21.01</v>
      </c>
      <c r="M74" s="209">
        <f>F74/K74</f>
        <v>0.08293321693583587</v>
      </c>
      <c r="N74" s="164" t="e">
        <f>E74-#REF!</f>
        <v>#REF!</v>
      </c>
      <c r="O74" s="168" t="e">
        <f>F74-#REF!</f>
        <v>#REF!</v>
      </c>
      <c r="P74" s="167" t="e">
        <f>#N/A</f>
        <v>#REF!</v>
      </c>
      <c r="Q74" s="167" t="e">
        <f>O74/N74*100</f>
        <v>#REF!</v>
      </c>
      <c r="R74" s="38"/>
      <c r="S74" s="97"/>
      <c r="T74" s="147">
        <f>#N/A</f>
        <v>7400</v>
      </c>
    </row>
    <row r="75" spans="2:20" ht="31.5">
      <c r="B75" s="23" t="s">
        <v>54</v>
      </c>
      <c r="C75" s="73">
        <v>24170000</v>
      </c>
      <c r="D75" s="180">
        <v>10000</v>
      </c>
      <c r="E75" s="180">
        <v>400</v>
      </c>
      <c r="F75" s="181">
        <v>90.12</v>
      </c>
      <c r="G75" s="162">
        <f>#N/A</f>
        <v>-309.88</v>
      </c>
      <c r="H75" s="164">
        <f>F75/E75*100</f>
        <v>22.53</v>
      </c>
      <c r="I75" s="167">
        <f>#N/A</f>
        <v>-9909.88</v>
      </c>
      <c r="J75" s="167">
        <f>F75/D75*100</f>
        <v>0.9012000000000001</v>
      </c>
      <c r="K75" s="167">
        <v>282.85</v>
      </c>
      <c r="L75" s="167">
        <f>#N/A</f>
        <v>-192.73000000000002</v>
      </c>
      <c r="M75" s="209">
        <f>F75/K75</f>
        <v>0.3186141064168287</v>
      </c>
      <c r="N75" s="164" t="e">
        <f>E75-#REF!</f>
        <v>#REF!</v>
      </c>
      <c r="O75" s="168" t="e">
        <f>F75-#REF!</f>
        <v>#REF!</v>
      </c>
      <c r="P75" s="167" t="e">
        <f>#N/A</f>
        <v>#REF!</v>
      </c>
      <c r="Q75" s="167" t="e">
        <f>O75/N75*100</f>
        <v>#REF!</v>
      </c>
      <c r="R75" s="38"/>
      <c r="S75" s="97"/>
      <c r="T75" s="147">
        <f>#N/A</f>
        <v>9600</v>
      </c>
    </row>
    <row r="76" spans="2:20" ht="18">
      <c r="B76" s="23" t="s">
        <v>101</v>
      </c>
      <c r="C76" s="73">
        <v>24110700</v>
      </c>
      <c r="D76" s="180">
        <v>12</v>
      </c>
      <c r="E76" s="180">
        <v>1</v>
      </c>
      <c r="F76" s="181">
        <v>1</v>
      </c>
      <c r="G76" s="162">
        <f>#N/A</f>
        <v>0</v>
      </c>
      <c r="H76" s="164">
        <f>F76/E76*100</f>
        <v>100</v>
      </c>
      <c r="I76" s="167">
        <f>#N/A</f>
        <v>-11</v>
      </c>
      <c r="J76" s="167">
        <f>F76/D76*100</f>
        <v>8.333333333333332</v>
      </c>
      <c r="K76" s="167">
        <v>1</v>
      </c>
      <c r="L76" s="167">
        <f>#N/A</f>
        <v>0</v>
      </c>
      <c r="M76" s="209"/>
      <c r="N76" s="164" t="e">
        <f>E76-#REF!</f>
        <v>#REF!</v>
      </c>
      <c r="O76" s="168" t="e">
        <f>F76-#REF!</f>
        <v>#REF!</v>
      </c>
      <c r="P76" s="167" t="e">
        <f>#N/A</f>
        <v>#REF!</v>
      </c>
      <c r="Q76" s="167" t="e">
        <f>O76/N76*100</f>
        <v>#REF!</v>
      </c>
      <c r="R76" s="38"/>
      <c r="S76" s="136"/>
      <c r="T76" s="147">
        <f>#N/A</f>
        <v>11</v>
      </c>
    </row>
    <row r="77" spans="2:20" ht="33">
      <c r="B77" s="28" t="s">
        <v>51</v>
      </c>
      <c r="C77" s="65"/>
      <c r="D77" s="183">
        <f>D73+D74+D75+D76</f>
        <v>22012</v>
      </c>
      <c r="E77" s="183">
        <f>E73+E74+E75+E76</f>
        <v>1001</v>
      </c>
      <c r="F77" s="184">
        <f>F73+F74+F75+F76</f>
        <v>93.06</v>
      </c>
      <c r="G77" s="185">
        <f>#N/A</f>
        <v>-907.94</v>
      </c>
      <c r="H77" s="186">
        <f>F77/E77*100</f>
        <v>9.296703296703297</v>
      </c>
      <c r="I77" s="187">
        <f>#N/A</f>
        <v>-21918.94</v>
      </c>
      <c r="J77" s="187">
        <f>F77/D77*100</f>
        <v>0.42276939850990375</v>
      </c>
      <c r="K77" s="187">
        <v>306.82</v>
      </c>
      <c r="L77" s="187">
        <f>#N/A</f>
        <v>-213.76</v>
      </c>
      <c r="M77" s="214">
        <f>F77/K77</f>
        <v>0.3033048693044782</v>
      </c>
      <c r="N77" s="185" t="e">
        <f>N73+N74+N75+N76</f>
        <v>#REF!</v>
      </c>
      <c r="O77" s="189" t="e">
        <f>O73+O74+O75+O76</f>
        <v>#REF!</v>
      </c>
      <c r="P77" s="187" t="e">
        <f>#N/A</f>
        <v>#REF!</v>
      </c>
      <c r="Q77" s="187" t="e">
        <f>O77/N77*100</f>
        <v>#REF!</v>
      </c>
      <c r="R77" s="39"/>
      <c r="S77" s="116"/>
      <c r="T77" s="147">
        <f>#N/A</f>
        <v>21011</v>
      </c>
    </row>
    <row r="78" spans="2:20" ht="46.5">
      <c r="B78" s="12" t="s">
        <v>40</v>
      </c>
      <c r="C78" s="75">
        <v>24062100</v>
      </c>
      <c r="D78" s="180">
        <v>40</v>
      </c>
      <c r="E78" s="180">
        <v>0</v>
      </c>
      <c r="F78" s="181">
        <v>0.34</v>
      </c>
      <c r="G78" s="162">
        <f>#N/A</f>
        <v>0.34</v>
      </c>
      <c r="H78" s="164"/>
      <c r="I78" s="167">
        <f>#N/A</f>
        <v>-39.66</v>
      </c>
      <c r="J78" s="167"/>
      <c r="K78" s="167">
        <v>0</v>
      </c>
      <c r="L78" s="167">
        <f>#N/A</f>
        <v>0.34</v>
      </c>
      <c r="M78" s="209" t="e">
        <f>F78/K78</f>
        <v>#DIV/0!</v>
      </c>
      <c r="N78" s="164" t="e">
        <f>E78-#REF!</f>
        <v>#REF!</v>
      </c>
      <c r="O78" s="168" t="e">
        <f>F78-#REF!</f>
        <v>#REF!</v>
      </c>
      <c r="P78" s="167" t="e">
        <f>#N/A</f>
        <v>#REF!</v>
      </c>
      <c r="Q78" s="167"/>
      <c r="R78" s="38"/>
      <c r="S78" s="97"/>
      <c r="T78" s="147">
        <f>#N/A</f>
        <v>40</v>
      </c>
    </row>
    <row r="79" spans="2:20" ht="18">
      <c r="B79" s="23" t="s">
        <v>52</v>
      </c>
      <c r="C79" s="73">
        <v>24061600</v>
      </c>
      <c r="D79" s="180">
        <v>0</v>
      </c>
      <c r="E79" s="180">
        <v>0</v>
      </c>
      <c r="F79" s="181">
        <v>0</v>
      </c>
      <c r="G79" s="162">
        <f>#N/A</f>
        <v>0</v>
      </c>
      <c r="H79" s="164"/>
      <c r="I79" s="167">
        <f>#N/A</f>
        <v>0</v>
      </c>
      <c r="J79" s="190"/>
      <c r="K79" s="167">
        <v>0</v>
      </c>
      <c r="L79" s="167">
        <f>#N/A</f>
        <v>0</v>
      </c>
      <c r="M79" s="209" t="e">
        <f>F79/K79</f>
        <v>#DIV/0!</v>
      </c>
      <c r="N79" s="164" t="e">
        <f>E79-#REF!</f>
        <v>#REF!</v>
      </c>
      <c r="O79" s="168" t="e">
        <f>F79-#REF!</f>
        <v>#REF!</v>
      </c>
      <c r="P79" s="167" t="e">
        <f>#N/A</f>
        <v>#REF!</v>
      </c>
      <c r="Q79" s="190"/>
      <c r="R79" s="41"/>
      <c r="S79" s="99"/>
      <c r="T79" s="147">
        <f>#N/A</f>
        <v>0</v>
      </c>
    </row>
    <row r="80" spans="2:20" ht="18">
      <c r="B80" s="23" t="s">
        <v>46</v>
      </c>
      <c r="C80" s="73">
        <v>19010000</v>
      </c>
      <c r="D80" s="180">
        <v>8360</v>
      </c>
      <c r="E80" s="180">
        <v>7.5</v>
      </c>
      <c r="F80" s="181">
        <v>11.48</v>
      </c>
      <c r="G80" s="162">
        <f>#N/A</f>
        <v>3.9800000000000004</v>
      </c>
      <c r="H80" s="164">
        <f>F80/E80*100</f>
        <v>153.06666666666666</v>
      </c>
      <c r="I80" s="167">
        <f>#N/A</f>
        <v>-8348.52</v>
      </c>
      <c r="J80" s="167">
        <f>F80/D80*100</f>
        <v>0.13732057416267943</v>
      </c>
      <c r="K80" s="167">
        <v>0</v>
      </c>
      <c r="L80" s="167">
        <f>#N/A</f>
        <v>11.48</v>
      </c>
      <c r="M80" s="209"/>
      <c r="N80" s="164" t="e">
        <f>E80-#REF!</f>
        <v>#REF!</v>
      </c>
      <c r="O80" s="168" t="e">
        <f>F80-#REF!</f>
        <v>#REF!</v>
      </c>
      <c r="P80" s="167" t="e">
        <f>O80-N80</f>
        <v>#REF!</v>
      </c>
      <c r="Q80" s="190" t="e">
        <f>O80/N80*100</f>
        <v>#REF!</v>
      </c>
      <c r="R80" s="41"/>
      <c r="S80" s="99"/>
      <c r="T80" s="147">
        <f>#N/A</f>
        <v>8352.5</v>
      </c>
    </row>
    <row r="81" spans="2:20" ht="31.5" hidden="1">
      <c r="B81" s="236" t="s">
        <v>50</v>
      </c>
      <c r="C81" s="73">
        <v>19050000</v>
      </c>
      <c r="D81" s="180">
        <v>0</v>
      </c>
      <c r="E81" s="180"/>
      <c r="F81" s="181">
        <v>0</v>
      </c>
      <c r="G81" s="162">
        <f>#N/A</f>
        <v>0</v>
      </c>
      <c r="H81" s="164"/>
      <c r="I81" s="167">
        <f>#N/A</f>
        <v>0</v>
      </c>
      <c r="J81" s="167"/>
      <c r="K81" s="167">
        <v>1.31</v>
      </c>
      <c r="L81" s="167">
        <f>#N/A</f>
        <v>-1.31</v>
      </c>
      <c r="M81" s="209">
        <f>#N/A</f>
        <v>0</v>
      </c>
      <c r="N81" s="164" t="e">
        <f>E81-#REF!</f>
        <v>#REF!</v>
      </c>
      <c r="O81" s="168" t="e">
        <f>F81-#REF!</f>
        <v>#REF!</v>
      </c>
      <c r="P81" s="167" t="e">
        <f>#N/A</f>
        <v>#REF!</v>
      </c>
      <c r="Q81" s="167"/>
      <c r="R81" s="38"/>
      <c r="S81" s="97"/>
      <c r="T81" s="147">
        <f>#N/A</f>
        <v>0</v>
      </c>
    </row>
    <row r="82" spans="2:20" ht="30">
      <c r="B82" s="28" t="s">
        <v>47</v>
      </c>
      <c r="C82" s="73"/>
      <c r="D82" s="183">
        <f>D78+D81+D79+D80</f>
        <v>8400</v>
      </c>
      <c r="E82" s="183">
        <f>E78+E81+E79+E80</f>
        <v>7.5</v>
      </c>
      <c r="F82" s="184">
        <f>F78+F81+F79+F80</f>
        <v>11.82</v>
      </c>
      <c r="G82" s="183">
        <f>G78+G81+G79+G80</f>
        <v>4.32</v>
      </c>
      <c r="H82" s="186">
        <f>F82/E82*100</f>
        <v>157.6</v>
      </c>
      <c r="I82" s="187">
        <f>#N/A</f>
        <v>-8388.18</v>
      </c>
      <c r="J82" s="187">
        <f>F82/D82*100</f>
        <v>0.14071428571428574</v>
      </c>
      <c r="K82" s="187">
        <v>0.12</v>
      </c>
      <c r="L82" s="187">
        <f>#N/A</f>
        <v>11.700000000000001</v>
      </c>
      <c r="M82" s="220">
        <f>#N/A</f>
        <v>98.5</v>
      </c>
      <c r="N82" s="185" t="e">
        <f>N78+N81+N79+N80</f>
        <v>#REF!</v>
      </c>
      <c r="O82" s="189" t="e">
        <f>O78+O81+O79+O80</f>
        <v>#REF!</v>
      </c>
      <c r="P82" s="185" t="e">
        <f>P78+P81+P79+P80</f>
        <v>#REF!</v>
      </c>
      <c r="Q82" s="187" t="e">
        <f>O82/N82*100</f>
        <v>#REF!</v>
      </c>
      <c r="R82" s="39"/>
      <c r="S82" s="96"/>
      <c r="T82" s="147">
        <f>#N/A</f>
        <v>8392.5</v>
      </c>
    </row>
    <row r="83" spans="2:20" ht="30.75">
      <c r="B83" s="12" t="s">
        <v>41</v>
      </c>
      <c r="C83" s="43">
        <v>24110900</v>
      </c>
      <c r="D83" s="180">
        <v>38</v>
      </c>
      <c r="E83" s="180">
        <v>2.4</v>
      </c>
      <c r="F83" s="181">
        <v>0.34</v>
      </c>
      <c r="G83" s="162">
        <f>#N/A</f>
        <v>-2.06</v>
      </c>
      <c r="H83" s="164">
        <f>F83/E83*100</f>
        <v>14.16666666666667</v>
      </c>
      <c r="I83" s="167">
        <f>#N/A</f>
        <v>-37.66</v>
      </c>
      <c r="J83" s="167">
        <f>F83/D83*100</f>
        <v>0.8947368421052633</v>
      </c>
      <c r="K83" s="167">
        <v>0.35</v>
      </c>
      <c r="L83" s="167">
        <f>#N/A</f>
        <v>-0.009999999999999953</v>
      </c>
      <c r="M83" s="209">
        <f>#N/A</f>
        <v>0.9714285714285715</v>
      </c>
      <c r="N83" s="164" t="e">
        <f>E83-#REF!</f>
        <v>#REF!</v>
      </c>
      <c r="O83" s="168" t="e">
        <f>F83-#REF!</f>
        <v>#REF!</v>
      </c>
      <c r="P83" s="167" t="e">
        <f>#N/A</f>
        <v>#REF!</v>
      </c>
      <c r="Q83" s="167" t="e">
        <f>O83/N83</f>
        <v>#REF!</v>
      </c>
      <c r="R83" s="38"/>
      <c r="S83" s="97"/>
      <c r="T83" s="147">
        <f>#N/A</f>
        <v>35.6</v>
      </c>
    </row>
    <row r="84" spans="2:20" ht="18" hidden="1">
      <c r="B84" s="122"/>
      <c r="C84" s="43">
        <v>0</v>
      </c>
      <c r="D84" s="180">
        <v>0</v>
      </c>
      <c r="E84" s="180">
        <v>0</v>
      </c>
      <c r="F84" s="181">
        <v>0</v>
      </c>
      <c r="G84" s="162">
        <f>#N/A</f>
        <v>0</v>
      </c>
      <c r="H84" s="164"/>
      <c r="I84" s="167">
        <f>#N/A</f>
        <v>0</v>
      </c>
      <c r="J84" s="167"/>
      <c r="K84" s="167">
        <v>0</v>
      </c>
      <c r="L84" s="167">
        <f>#N/A</f>
        <v>0</v>
      </c>
      <c r="M84" s="167" t="e">
        <f>#N/A</f>
        <v>#DIV/0!</v>
      </c>
      <c r="N84" s="164" t="e">
        <f>E84-#REF!</f>
        <v>#REF!</v>
      </c>
      <c r="O84" s="168" t="e">
        <f>F84-#REF!</f>
        <v>#REF!</v>
      </c>
      <c r="P84" s="167" t="e">
        <f>#N/A</f>
        <v>#REF!</v>
      </c>
      <c r="Q84" s="167"/>
      <c r="R84" s="38"/>
      <c r="S84" s="97"/>
      <c r="T84" s="147">
        <f>#N/A</f>
        <v>0</v>
      </c>
    </row>
    <row r="85" spans="2:20" ht="23.25" customHeight="1">
      <c r="B85" s="14" t="s">
        <v>31</v>
      </c>
      <c r="C85" s="66"/>
      <c r="D85" s="191">
        <f>D71+D72+D77+D82+D83</f>
        <v>30450</v>
      </c>
      <c r="E85" s="191">
        <f>E71+E72+E77+E82+E83</f>
        <v>1010.9</v>
      </c>
      <c r="F85" s="191">
        <f>F71+F72+F77+F82+F83</f>
        <v>117.03999999999999</v>
      </c>
      <c r="G85" s="192">
        <f>F85-E85</f>
        <v>-893.86</v>
      </c>
      <c r="H85" s="193">
        <f>F85/E85*100</f>
        <v>11.577801958650706</v>
      </c>
      <c r="I85" s="194">
        <f>F85-D85</f>
        <v>-30332.96</v>
      </c>
      <c r="J85" s="194">
        <f>F85/D85*100</f>
        <v>0.384367816091954</v>
      </c>
      <c r="K85" s="194">
        <v>315.77</v>
      </c>
      <c r="L85" s="194">
        <f>F85-K85</f>
        <v>-198.73</v>
      </c>
      <c r="M85" s="221">
        <f>#N/A</f>
        <v>0.3706495233872755</v>
      </c>
      <c r="N85" s="191" t="e">
        <f>N71+N83+N77+N82</f>
        <v>#REF!</v>
      </c>
      <c r="O85" s="191" t="e">
        <f>O71+O83+O77+O82+O84</f>
        <v>#REF!</v>
      </c>
      <c r="P85" s="194" t="e">
        <f>#N/A</f>
        <v>#REF!</v>
      </c>
      <c r="Q85" s="194" t="e">
        <f>O85/N85*100</f>
        <v>#REF!</v>
      </c>
      <c r="R85" s="27" t="e">
        <f>O85-8104.96</f>
        <v>#REF!</v>
      </c>
      <c r="S85" s="95" t="e">
        <f>O85/8104.96</f>
        <v>#REF!</v>
      </c>
      <c r="T85" s="147">
        <f>#N/A</f>
        <v>29439.1</v>
      </c>
    </row>
    <row r="86" spans="2:20" ht="17.25">
      <c r="B86" s="21" t="s">
        <v>32</v>
      </c>
      <c r="C86" s="66"/>
      <c r="D86" s="191">
        <f>D64+D85</f>
        <v>1387941.1</v>
      </c>
      <c r="E86" s="191">
        <f>E64+E85</f>
        <v>98367.4</v>
      </c>
      <c r="F86" s="191">
        <f>F64+F85</f>
        <v>98203.23</v>
      </c>
      <c r="G86" s="192">
        <f>F86-E86</f>
        <v>-164.16999999999825</v>
      </c>
      <c r="H86" s="193">
        <f>F86/E86*100</f>
        <v>99.83310527674819</v>
      </c>
      <c r="I86" s="194">
        <f>F86-D86</f>
        <v>-1289737.87</v>
      </c>
      <c r="J86" s="194">
        <f>F86/D86*100</f>
        <v>7.075460911129442</v>
      </c>
      <c r="K86" s="194">
        <f>K64+K85</f>
        <v>62928.35999999999</v>
      </c>
      <c r="L86" s="194">
        <f>F86-K86</f>
        <v>35274.87</v>
      </c>
      <c r="M86" s="221">
        <f>#N/A</f>
        <v>1.5605560036841895</v>
      </c>
      <c r="N86" s="192" t="e">
        <f>N64+N85</f>
        <v>#REF!</v>
      </c>
      <c r="O86" s="192" t="e">
        <f>O64+O85</f>
        <v>#REF!</v>
      </c>
      <c r="P86" s="194" t="e">
        <f>#N/A</f>
        <v>#REF!</v>
      </c>
      <c r="Q86" s="194" t="e">
        <f>O86/N86*100</f>
        <v>#REF!</v>
      </c>
      <c r="R86" s="27" t="e">
        <f>O86-42872.96</f>
        <v>#REF!</v>
      </c>
      <c r="S86" s="95" t="e">
        <f>O86/42872.96</f>
        <v>#REF!</v>
      </c>
      <c r="T86" s="147">
        <f>#N/A</f>
        <v>1289573.7000000002</v>
      </c>
    </row>
    <row r="87" spans="2:20" ht="15">
      <c r="B87" s="20" t="s">
        <v>34</v>
      </c>
      <c r="O87" s="25"/>
      <c r="T87" s="147">
        <f>#N/A</f>
        <v>0</v>
      </c>
    </row>
    <row r="88" spans="2:20" ht="15">
      <c r="B88" s="4" t="s">
        <v>36</v>
      </c>
      <c r="C88" s="76">
        <v>0</v>
      </c>
      <c r="D88" s="4" t="s">
        <v>35</v>
      </c>
      <c r="O88" s="78"/>
      <c r="T88" s="147" t="e">
        <f>#N/A</f>
        <v>#VALUE!</v>
      </c>
    </row>
    <row r="89" spans="2:20" ht="30.75" hidden="1">
      <c r="B89" s="52" t="s">
        <v>53</v>
      </c>
      <c r="C89" s="29" t="e">
        <f>IF(P64&lt;0,ABS(P64/C88),0)</f>
        <v>#REF!</v>
      </c>
      <c r="D89" s="4" t="s">
        <v>24</v>
      </c>
      <c r="G89" s="424"/>
      <c r="H89" s="424"/>
      <c r="I89" s="424"/>
      <c r="J89" s="424"/>
      <c r="K89" s="84"/>
      <c r="L89" s="84"/>
      <c r="M89" s="84"/>
      <c r="Q89" s="25"/>
      <c r="R89" s="25"/>
      <c r="T89" s="147" t="e">
        <f>#N/A</f>
        <v>#VALUE!</v>
      </c>
    </row>
    <row r="90" spans="2:20" ht="34.5" customHeight="1">
      <c r="B90" s="53" t="s">
        <v>55</v>
      </c>
      <c r="C90" s="81">
        <v>42766</v>
      </c>
      <c r="D90" s="29">
        <v>9271.6</v>
      </c>
      <c r="G90" s="4" t="s">
        <v>58</v>
      </c>
      <c r="O90" s="430"/>
      <c r="P90" s="430"/>
      <c r="T90" s="147">
        <f>#N/A</f>
        <v>9271.6</v>
      </c>
    </row>
    <row r="91" spans="3:16" ht="15">
      <c r="C91" s="81">
        <v>42765</v>
      </c>
      <c r="D91" s="29">
        <v>13760.5</v>
      </c>
      <c r="F91" s="113" t="s">
        <v>58</v>
      </c>
      <c r="G91" s="427"/>
      <c r="H91" s="427"/>
      <c r="I91" s="118"/>
      <c r="J91" s="436"/>
      <c r="K91" s="436"/>
      <c r="L91" s="436"/>
      <c r="M91" s="436"/>
      <c r="N91" s="436"/>
      <c r="O91" s="430"/>
      <c r="P91" s="430"/>
    </row>
    <row r="92" spans="3:16" ht="15.75" customHeight="1">
      <c r="C92" s="81">
        <v>42762</v>
      </c>
      <c r="D92" s="29">
        <v>8862.4</v>
      </c>
      <c r="F92" s="68"/>
      <c r="G92" s="427"/>
      <c r="H92" s="427"/>
      <c r="I92" s="118"/>
      <c r="J92" s="437"/>
      <c r="K92" s="437"/>
      <c r="L92" s="437"/>
      <c r="M92" s="437"/>
      <c r="N92" s="437"/>
      <c r="O92" s="430"/>
      <c r="P92" s="430"/>
    </row>
    <row r="93" spans="3:14" ht="15.75" customHeight="1">
      <c r="C93" s="81"/>
      <c r="F93" s="68"/>
      <c r="G93" s="421"/>
      <c r="H93" s="421"/>
      <c r="I93" s="124"/>
      <c r="J93" s="436"/>
      <c r="K93" s="436"/>
      <c r="L93" s="436"/>
      <c r="M93" s="436"/>
      <c r="N93" s="436"/>
    </row>
    <row r="94" spans="2:14" ht="18.75" customHeight="1">
      <c r="B94" s="425" t="s">
        <v>56</v>
      </c>
      <c r="C94" s="426"/>
      <c r="D94" s="133">
        <f>9505303.41/1000</f>
        <v>9505.30341</v>
      </c>
      <c r="E94" s="69"/>
      <c r="F94" s="125" t="s">
        <v>107</v>
      </c>
      <c r="G94" s="427"/>
      <c r="H94" s="427"/>
      <c r="I94" s="126"/>
      <c r="J94" s="436"/>
      <c r="K94" s="436"/>
      <c r="L94" s="436"/>
      <c r="M94" s="436"/>
      <c r="N94" s="436"/>
    </row>
    <row r="95" spans="6:13" ht="9.75" customHeight="1">
      <c r="F95" s="68"/>
      <c r="G95" s="427"/>
      <c r="H95" s="427"/>
      <c r="I95" s="68"/>
      <c r="J95" s="69"/>
      <c r="K95" s="69"/>
      <c r="L95" s="69"/>
      <c r="M95" s="69"/>
    </row>
    <row r="96" spans="2:13" ht="22.5" customHeight="1" hidden="1">
      <c r="B96" s="428" t="s">
        <v>59</v>
      </c>
      <c r="C96" s="429"/>
      <c r="D96" s="80">
        <v>0</v>
      </c>
      <c r="E96" s="51" t="s">
        <v>24</v>
      </c>
      <c r="F96" s="68"/>
      <c r="G96" s="427"/>
      <c r="H96" s="427"/>
      <c r="I96" s="68"/>
      <c r="J96" s="69"/>
      <c r="K96" s="69"/>
      <c r="L96" s="69"/>
      <c r="M96" s="69"/>
    </row>
    <row r="97" spans="4:16" ht="15" hidden="1">
      <c r="D97" s="68">
        <f>D45+D48+D49</f>
        <v>1060</v>
      </c>
      <c r="E97" s="68">
        <f>E45+E48+E49</f>
        <v>86</v>
      </c>
      <c r="F97" s="203">
        <f>F45+F48+F49</f>
        <v>133.98000000000002</v>
      </c>
      <c r="G97" s="68">
        <f>G45+G48+G49</f>
        <v>47.980000000000004</v>
      </c>
      <c r="H97" s="69"/>
      <c r="I97" s="69"/>
      <c r="N97" s="29" t="e">
        <f>N45+N48+N49</f>
        <v>#REF!</v>
      </c>
      <c r="O97" s="202" t="e">
        <f>O45+O48+O49</f>
        <v>#REF!</v>
      </c>
      <c r="P97" s="29" t="e">
        <f>P45+P48+P49</f>
        <v>#REF!</v>
      </c>
    </row>
    <row r="98" spans="4:16" ht="15" hidden="1">
      <c r="D98" s="78"/>
      <c r="I98" s="29"/>
      <c r="O98" s="420"/>
      <c r="P98" s="420"/>
    </row>
    <row r="99" spans="2:17" ht="15" hidden="1">
      <c r="B99" s="4" t="s">
        <v>119</v>
      </c>
      <c r="D99" s="29">
        <f>D9+D15+D17+D18+D19+D20+D39+D42+D56+D62+D63</f>
        <v>1299048.6</v>
      </c>
      <c r="E99" s="29">
        <f>E9+E15+E17+E18+E19+E20+E39+E42+E56+E62+E63</f>
        <v>94368.7</v>
      </c>
      <c r="F99" s="229">
        <f>F9+F15+F17+F18+F19+F20+F39+F42+F56+F62+F63</f>
        <v>93868.31</v>
      </c>
      <c r="G99" s="29">
        <f>F99-E99</f>
        <v>-500.3899999999994</v>
      </c>
      <c r="H99" s="230">
        <f>F99/E99</f>
        <v>0.9946975003364463</v>
      </c>
      <c r="I99" s="29">
        <f>F99-D99</f>
        <v>-1205180.29</v>
      </c>
      <c r="J99" s="230">
        <f>F99/D99</f>
        <v>0.07225927498016625</v>
      </c>
      <c r="N99" s="29" t="e">
        <f>N9+N15+N17+N18+N19+N20+N39+N42+N44+N56+N62+N63</f>
        <v>#REF!</v>
      </c>
      <c r="O99" s="229" t="e">
        <f>O9+O15+O17+O18+O19+O20+O39+O42+O44+O56+O62+O63</f>
        <v>#REF!</v>
      </c>
      <c r="P99" s="29" t="e">
        <f>O99-N99</f>
        <v>#REF!</v>
      </c>
      <c r="Q99" s="230" t="e">
        <f>O99/N99</f>
        <v>#REF!</v>
      </c>
    </row>
    <row r="100" spans="2:17" ht="15" hidden="1">
      <c r="B100" s="4" t="s">
        <v>120</v>
      </c>
      <c r="D100" s="29">
        <f>D40+D41+D43+D45+D47+D48+D49+D50+D51+D57+D61+D44</f>
        <v>58442.5</v>
      </c>
      <c r="E100" s="29">
        <f>E40+E41+E43+E45+E47+E48+E49+E50+E51+E57+E61+E44</f>
        <v>2987.8</v>
      </c>
      <c r="F100" s="229">
        <f>F40+F41+F43+F45+F47+F48+F49+F50+F51+F57+F61+F44</f>
        <v>4217.88</v>
      </c>
      <c r="G100" s="29">
        <f>G40+G41+G43+G45+G47+G48+G49+G50+G51+G57+G61+G44</f>
        <v>1230.08</v>
      </c>
      <c r="H100" s="230">
        <f>F100/E100</f>
        <v>1.4117009170627217</v>
      </c>
      <c r="I100" s="29">
        <f>I40+I41+I43+I45+I47+I48+I49+I50+I51+I57+I61+I44</f>
        <v>-54224.62000000001</v>
      </c>
      <c r="J100" s="230">
        <f>F100/D100</f>
        <v>0.07217145057107413</v>
      </c>
      <c r="K100" s="29">
        <f>#N/A</f>
        <v>2026.0900000000001</v>
      </c>
      <c r="L100" s="29">
        <f>#N/A</f>
        <v>2191.7899999999995</v>
      </c>
      <c r="M100" s="29">
        <f>#N/A</f>
        <v>10.18479694691847</v>
      </c>
      <c r="N100" s="29" t="e">
        <f>#N/A</f>
        <v>#REF!</v>
      </c>
      <c r="O100" s="229" t="e">
        <f>#N/A</f>
        <v>#REF!</v>
      </c>
      <c r="P100" s="29" t="e">
        <f>#N/A</f>
        <v>#REF!</v>
      </c>
      <c r="Q100" s="230" t="e">
        <f>O100/N100</f>
        <v>#REF!</v>
      </c>
    </row>
    <row r="101" spans="2:17" ht="15" hidden="1">
      <c r="B101" s="4" t="s">
        <v>121</v>
      </c>
      <c r="D101" s="29">
        <f>SUM(D99:D100)</f>
        <v>1357491.1</v>
      </c>
      <c r="E101" s="29">
        <f>#N/A</f>
        <v>97356.5</v>
      </c>
      <c r="F101" s="229">
        <f>#N/A</f>
        <v>98086.19</v>
      </c>
      <c r="G101" s="29">
        <f>#N/A</f>
        <v>729.6900000000005</v>
      </c>
      <c r="H101" s="230">
        <f>F101/E101</f>
        <v>1.007495031148408</v>
      </c>
      <c r="I101" s="29">
        <f>#N/A</f>
        <v>-1259404.9100000001</v>
      </c>
      <c r="J101" s="230">
        <f>F101/D101</f>
        <v>0.07225549397708758</v>
      </c>
      <c r="K101" s="29">
        <f>#N/A</f>
        <v>2026.0900000000001</v>
      </c>
      <c r="L101" s="29">
        <f>#N/A</f>
        <v>2191.7899999999995</v>
      </c>
      <c r="M101" s="29">
        <f>#N/A</f>
        <v>10.18479694691847</v>
      </c>
      <c r="N101" s="29" t="e">
        <f>#N/A</f>
        <v>#REF!</v>
      </c>
      <c r="O101" s="229" t="e">
        <f>#N/A</f>
        <v>#REF!</v>
      </c>
      <c r="P101" s="29" t="e">
        <f>#N/A</f>
        <v>#REF!</v>
      </c>
      <c r="Q101" s="230" t="e">
        <f>O101/N101</f>
        <v>#REF!</v>
      </c>
    </row>
    <row r="102" spans="4:21" ht="15" hidden="1">
      <c r="D102" s="29">
        <f>D64-D101</f>
        <v>0</v>
      </c>
      <c r="E102" s="29">
        <f>#N/A</f>
        <v>0</v>
      </c>
      <c r="F102" s="29">
        <f>#N/A</f>
        <v>0</v>
      </c>
      <c r="G102" s="29">
        <f>#N/A</f>
        <v>1.8189894035458565E-12</v>
      </c>
      <c r="H102" s="230"/>
      <c r="I102" s="29">
        <f>#N/A</f>
        <v>0</v>
      </c>
      <c r="J102" s="230"/>
      <c r="K102" s="29">
        <f>#N/A</f>
        <v>60586.5</v>
      </c>
      <c r="L102" s="29">
        <f>#N/A</f>
        <v>33281.810000000005</v>
      </c>
      <c r="M102" s="29">
        <f>#N/A</f>
        <v>-8.618239965327387</v>
      </c>
      <c r="N102" s="29" t="e">
        <f>#N/A</f>
        <v>#REF!</v>
      </c>
      <c r="O102" s="29" t="e">
        <f>#N/A</f>
        <v>#REF!</v>
      </c>
      <c r="P102" s="29" t="e">
        <f>#N/A</f>
        <v>#REF!</v>
      </c>
      <c r="Q102" s="29"/>
      <c r="R102" s="29" t="e">
        <f>#N/A</f>
        <v>#REF!</v>
      </c>
      <c r="S102" s="29" t="e">
        <f>#N/A</f>
        <v>#REF!</v>
      </c>
      <c r="T102" s="29">
        <f>#N/A</f>
        <v>1260134.6</v>
      </c>
      <c r="U102" s="29">
        <f>#N/A</f>
        <v>0</v>
      </c>
    </row>
    <row r="103" ht="15">
      <c r="E103" s="4" t="s">
        <v>58</v>
      </c>
    </row>
    <row r="104" spans="2:4" ht="15">
      <c r="B104" s="245" t="s">
        <v>257</v>
      </c>
      <c r="D104" s="29">
        <f>D9+D15+D18+D19+D20+D39+D44+D56+D62</f>
        <v>1299146.1</v>
      </c>
    </row>
    <row r="105" spans="2:4" ht="15">
      <c r="B105" s="245" t="s">
        <v>258</v>
      </c>
      <c r="D105" s="29">
        <f>D78+D79+D80</f>
        <v>8400</v>
      </c>
    </row>
    <row r="106" spans="2:4" ht="15">
      <c r="B106" s="245" t="s">
        <v>259</v>
      </c>
      <c r="D106" s="29">
        <f>D104+D105</f>
        <v>1307546.1</v>
      </c>
    </row>
  </sheetData>
  <sheetProtection/>
  <mergeCells count="37">
    <mergeCell ref="B96:C96"/>
    <mergeCell ref="G96:H96"/>
    <mergeCell ref="O98:P98"/>
    <mergeCell ref="G93:H93"/>
    <mergeCell ref="J93:N93"/>
    <mergeCell ref="B94:C94"/>
    <mergeCell ref="G94:H94"/>
    <mergeCell ref="J94:N94"/>
    <mergeCell ref="G95:H95"/>
    <mergeCell ref="G91:H91"/>
    <mergeCell ref="J91:N91"/>
    <mergeCell ref="O91:P91"/>
    <mergeCell ref="G92:H92"/>
    <mergeCell ref="J92:N92"/>
    <mergeCell ref="O92:P92"/>
    <mergeCell ref="P4:P5"/>
    <mergeCell ref="Q4:Q5"/>
    <mergeCell ref="K5:M5"/>
    <mergeCell ref="R5:S5"/>
    <mergeCell ref="G89:J89"/>
    <mergeCell ref="O90:P90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.5118110236220472" right="0.5118110236220472" top="0.1968503937007874" bottom="0.1968503937007874" header="0.31496062992125984" footer="0.31496062992125984"/>
  <pageSetup fitToHeight="1" fitToWidth="1" orientation="portrait" paperSize="9" scale="4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2904C4"/>
    <pageSetUpPr fitToPage="1"/>
  </sheetPr>
  <dimension ref="A1:X103"/>
  <sheetViews>
    <sheetView zoomScale="76" zoomScaleNormal="76" zoomScalePageLayoutView="0" workbookViewId="0" topLeftCell="B1">
      <pane xSplit="2" ySplit="8" topLeftCell="D71" activePane="bottomRight" state="frozen"/>
      <selection pane="topLeft" activeCell="B1" sqref="B1"/>
      <selection pane="topRight" activeCell="D1" sqref="D1"/>
      <selection pane="bottomLeft" activeCell="B9" sqref="B9"/>
      <selection pane="bottomRight" activeCell="AB5" sqref="AB5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hidden="1" customWidth="1"/>
    <col min="5" max="5" width="14.00390625" style="4" hidden="1" customWidth="1"/>
    <col min="6" max="6" width="16.50390625" style="260" customWidth="1"/>
    <col min="7" max="7" width="13.25390625" style="4" hidden="1" customWidth="1"/>
    <col min="8" max="8" width="1.875" style="4" hidden="1" customWidth="1"/>
    <col min="9" max="9" width="12.75390625" style="4" hidden="1" customWidth="1"/>
    <col min="10" max="10" width="11.75390625" style="4" hidden="1" customWidth="1"/>
    <col min="11" max="12" width="12.25390625" style="4" hidden="1" customWidth="1"/>
    <col min="13" max="13" width="14.25390625" style="4" hidden="1" customWidth="1"/>
    <col min="14" max="14" width="12.00390625" style="4" hidden="1" customWidth="1"/>
    <col min="15" max="15" width="12.25390625" style="4" hidden="1" customWidth="1"/>
    <col min="16" max="16" width="12.625" style="4" hidden="1" customWidth="1"/>
    <col min="17" max="17" width="12.125" style="4" hidden="1" customWidth="1"/>
    <col min="18" max="18" width="11.00390625" style="4" hidden="1" customWidth="1"/>
    <col min="19" max="19" width="11.00390625" style="89" hidden="1" customWidth="1"/>
    <col min="20" max="20" width="9.125" style="4" hidden="1" customWidth="1"/>
    <col min="21" max="21" width="0.6171875" style="4" hidden="1" customWidth="1"/>
    <col min="22" max="22" width="9.125" style="4" hidden="1" customWidth="1"/>
    <col min="23" max="16384" width="9.125" style="4" customWidth="1"/>
  </cols>
  <sheetData>
    <row r="1" spans="1:19" s="1" customFormat="1" ht="26.25" customHeight="1">
      <c r="A1" s="396" t="s">
        <v>132</v>
      </c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  <c r="M1" s="396"/>
      <c r="N1" s="396"/>
      <c r="O1" s="396"/>
      <c r="P1" s="396"/>
      <c r="Q1" s="396"/>
      <c r="R1" s="86"/>
      <c r="S1" s="87"/>
    </row>
    <row r="2" spans="2:19" s="1" customFormat="1" ht="15.75" customHeight="1">
      <c r="B2" s="397"/>
      <c r="C2" s="397"/>
      <c r="D2" s="397"/>
      <c r="E2" s="2"/>
      <c r="F2" s="315"/>
      <c r="G2" s="2"/>
      <c r="H2" s="2"/>
      <c r="M2" s="1" t="s">
        <v>24</v>
      </c>
      <c r="Q2" s="17" t="s">
        <v>24</v>
      </c>
      <c r="R2" s="17"/>
      <c r="S2" s="88"/>
    </row>
    <row r="3" spans="1:19" s="3" customFormat="1" ht="13.5" customHeight="1">
      <c r="A3" s="398"/>
      <c r="B3" s="400"/>
      <c r="C3" s="401" t="s">
        <v>0</v>
      </c>
      <c r="D3" s="402" t="s">
        <v>126</v>
      </c>
      <c r="E3" s="32"/>
      <c r="F3" s="403" t="s">
        <v>26</v>
      </c>
      <c r="G3" s="404"/>
      <c r="H3" s="404"/>
      <c r="I3" s="404"/>
      <c r="J3" s="405"/>
      <c r="K3" s="83"/>
      <c r="L3" s="83"/>
      <c r="M3" s="83"/>
      <c r="N3" s="406" t="s">
        <v>129</v>
      </c>
      <c r="O3" s="409" t="s">
        <v>125</v>
      </c>
      <c r="P3" s="409"/>
      <c r="Q3" s="409"/>
      <c r="R3" s="409"/>
      <c r="S3" s="409"/>
    </row>
    <row r="4" spans="1:19" ht="22.5" customHeight="1">
      <c r="A4" s="398"/>
      <c r="B4" s="400"/>
      <c r="C4" s="401"/>
      <c r="D4" s="402"/>
      <c r="E4" s="392" t="s">
        <v>127</v>
      </c>
      <c r="F4" s="438" t="s">
        <v>33</v>
      </c>
      <c r="G4" s="410" t="s">
        <v>128</v>
      </c>
      <c r="H4" s="407" t="s">
        <v>122</v>
      </c>
      <c r="I4" s="410" t="s">
        <v>103</v>
      </c>
      <c r="J4" s="407" t="s">
        <v>104</v>
      </c>
      <c r="K4" s="85" t="s">
        <v>114</v>
      </c>
      <c r="L4" s="204" t="s">
        <v>113</v>
      </c>
      <c r="M4" s="90" t="s">
        <v>63</v>
      </c>
      <c r="N4" s="407"/>
      <c r="O4" s="394" t="s">
        <v>133</v>
      </c>
      <c r="P4" s="410" t="s">
        <v>49</v>
      </c>
      <c r="Q4" s="412" t="s">
        <v>48</v>
      </c>
      <c r="R4" s="91" t="s">
        <v>64</v>
      </c>
      <c r="S4" s="92" t="s">
        <v>63</v>
      </c>
    </row>
    <row r="5" spans="1:19" ht="67.5" customHeight="1">
      <c r="A5" s="399"/>
      <c r="B5" s="400"/>
      <c r="C5" s="401"/>
      <c r="D5" s="402"/>
      <c r="E5" s="393"/>
      <c r="F5" s="439"/>
      <c r="G5" s="411"/>
      <c r="H5" s="408"/>
      <c r="I5" s="411"/>
      <c r="J5" s="408"/>
      <c r="K5" s="413" t="s">
        <v>130</v>
      </c>
      <c r="L5" s="414"/>
      <c r="M5" s="415"/>
      <c r="N5" s="408"/>
      <c r="O5" s="395"/>
      <c r="P5" s="411"/>
      <c r="Q5" s="412"/>
      <c r="R5" s="413" t="s">
        <v>102</v>
      </c>
      <c r="S5" s="415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316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10">
        <v>17</v>
      </c>
    </row>
    <row r="7" spans="1:19" ht="15.75" customHeight="1">
      <c r="A7" s="18"/>
      <c r="B7" s="19" t="s">
        <v>27</v>
      </c>
      <c r="C7" s="60"/>
      <c r="D7" s="10"/>
      <c r="E7" s="10"/>
      <c r="F7" s="316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93"/>
    </row>
    <row r="8" spans="1:24" s="6" customFormat="1" ht="17.25">
      <c r="A8" s="7"/>
      <c r="B8" s="154" t="s">
        <v>9</v>
      </c>
      <c r="C8" s="70" t="s">
        <v>10</v>
      </c>
      <c r="D8" s="151">
        <f>D9+D15+D18+D19+D20+D37+D17</f>
        <v>975359.8500000001</v>
      </c>
      <c r="E8" s="151">
        <f>E9+E15+E18+E19+E20+E37+E17</f>
        <v>975359.8500000001</v>
      </c>
      <c r="F8" s="287">
        <f>F9+F15+F18+F19+F20+F37+F17</f>
        <v>984795.9400000001</v>
      </c>
      <c r="G8" s="151">
        <f>#N/A</f>
        <v>9436.089999999967</v>
      </c>
      <c r="H8" s="152">
        <f>F8/E8*100</f>
        <v>100.96744704018728</v>
      </c>
      <c r="I8" s="153">
        <f>F8-D8</f>
        <v>9436.089999999967</v>
      </c>
      <c r="J8" s="153">
        <f>F8/D8*100</f>
        <v>100.96744704018728</v>
      </c>
      <c r="K8" s="151">
        <v>672693.01</v>
      </c>
      <c r="L8" s="151">
        <f>#N/A</f>
        <v>312102.93000000005</v>
      </c>
      <c r="M8" s="205">
        <f>#N/A</f>
        <v>1.4639604178434975</v>
      </c>
      <c r="N8" s="151" t="e">
        <f>N9+N15+N18+N19+N20+N17</f>
        <v>#REF!</v>
      </c>
      <c r="O8" s="151" t="e">
        <f>O9+O15+O18+O19+O20+O17</f>
        <v>#REF!</v>
      </c>
      <c r="P8" s="151" t="e">
        <f>O8-N8</f>
        <v>#REF!</v>
      </c>
      <c r="Q8" s="151" t="e">
        <f>O8/N8*100</f>
        <v>#REF!</v>
      </c>
      <c r="R8" s="15" t="e">
        <f>#N/A</f>
        <v>#N/A</v>
      </c>
      <c r="S8" s="15" t="e">
        <f>#N/A</f>
        <v>#N/A</v>
      </c>
      <c r="X8" s="147"/>
    </row>
    <row r="9" spans="1:20" s="6" customFormat="1" ht="18">
      <c r="A9" s="8"/>
      <c r="B9" s="13" t="s">
        <v>79</v>
      </c>
      <c r="C9" s="43">
        <v>11010000</v>
      </c>
      <c r="D9" s="150">
        <f>530589+7005.4</f>
        <v>537594.4</v>
      </c>
      <c r="E9" s="150">
        <f>D9</f>
        <v>537594.4</v>
      </c>
      <c r="F9" s="317">
        <v>541908.55</v>
      </c>
      <c r="G9" s="150">
        <f>#N/A</f>
        <v>4314.150000000023</v>
      </c>
      <c r="H9" s="157">
        <f>F9/E9*100</f>
        <v>100.80249161821627</v>
      </c>
      <c r="I9" s="158">
        <f>F9-D9</f>
        <v>4314.150000000023</v>
      </c>
      <c r="J9" s="158">
        <f>F9/D9*100</f>
        <v>100.80249161821627</v>
      </c>
      <c r="K9" s="227">
        <v>372804.54</v>
      </c>
      <c r="L9" s="159">
        <f>#N/A</f>
        <v>169104.01000000007</v>
      </c>
      <c r="M9" s="206">
        <f>#N/A</f>
        <v>1.4535996530514357</v>
      </c>
      <c r="N9" s="157" t="e">
        <f>E9-#REF!</f>
        <v>#REF!</v>
      </c>
      <c r="O9" s="160" t="e">
        <f>F9-#REF!</f>
        <v>#REF!</v>
      </c>
      <c r="P9" s="161" t="e">
        <f>O9-N9</f>
        <v>#REF!</v>
      </c>
      <c r="Q9" s="158" t="e">
        <f>O9/N9*100</f>
        <v>#REF!</v>
      </c>
      <c r="R9" s="100"/>
      <c r="S9" s="101"/>
      <c r="T9" s="147">
        <f>D9-E9</f>
        <v>0</v>
      </c>
    </row>
    <row r="10" spans="1:20" s="6" customFormat="1" ht="18">
      <c r="A10" s="8"/>
      <c r="B10" s="121" t="s">
        <v>89</v>
      </c>
      <c r="C10" s="102">
        <v>11010100</v>
      </c>
      <c r="D10" s="103">
        <v>485209</v>
      </c>
      <c r="E10" s="103">
        <f>#N/A</f>
        <v>485209</v>
      </c>
      <c r="F10" s="318">
        <v>476189.93</v>
      </c>
      <c r="G10" s="103">
        <f>#N/A</f>
        <v>-9019.070000000007</v>
      </c>
      <c r="H10" s="30">
        <f>#N/A</f>
        <v>98.14119894725778</v>
      </c>
      <c r="I10" s="104">
        <f>#N/A</f>
        <v>-9019.070000000007</v>
      </c>
      <c r="J10" s="104">
        <f>#N/A</f>
        <v>98.14119894725778</v>
      </c>
      <c r="K10" s="106">
        <v>329938.9</v>
      </c>
      <c r="L10" s="106">
        <f>#N/A</f>
        <v>146251.02999999997</v>
      </c>
      <c r="M10" s="207">
        <f>#N/A</f>
        <v>1.4432670109526338</v>
      </c>
      <c r="N10" s="105" t="e">
        <f>E10-#REF!</f>
        <v>#REF!</v>
      </c>
      <c r="O10" s="144" t="e">
        <f>F10-#REF!</f>
        <v>#REF!</v>
      </c>
      <c r="P10" s="106" t="e">
        <f>#N/A</f>
        <v>#REF!</v>
      </c>
      <c r="Q10" s="158" t="e">
        <f>#N/A</f>
        <v>#REF!</v>
      </c>
      <c r="R10" s="37"/>
      <c r="S10" s="94"/>
      <c r="T10" s="147">
        <f>#N/A</f>
        <v>0</v>
      </c>
    </row>
    <row r="11" spans="1:20" s="6" customFormat="1" ht="18">
      <c r="A11" s="8"/>
      <c r="B11" s="121" t="s">
        <v>85</v>
      </c>
      <c r="C11" s="102">
        <v>11010200</v>
      </c>
      <c r="D11" s="103">
        <f>23000+7005.4</f>
        <v>30005.4</v>
      </c>
      <c r="E11" s="103">
        <f>#N/A</f>
        <v>30005.4</v>
      </c>
      <c r="F11" s="318">
        <v>42401.33</v>
      </c>
      <c r="G11" s="103">
        <f>#N/A</f>
        <v>12395.93</v>
      </c>
      <c r="H11" s="30">
        <f>#N/A</f>
        <v>141.31233044718616</v>
      </c>
      <c r="I11" s="104">
        <f>#N/A</f>
        <v>12395.93</v>
      </c>
      <c r="J11" s="104">
        <f>#N/A</f>
        <v>141.31233044718616</v>
      </c>
      <c r="K11" s="106">
        <v>20742.02</v>
      </c>
      <c r="L11" s="106">
        <f>#N/A</f>
        <v>21659.31</v>
      </c>
      <c r="M11" s="207">
        <f>#N/A</f>
        <v>2.0442237544848574</v>
      </c>
      <c r="N11" s="105" t="e">
        <f>E11-#REF!</f>
        <v>#REF!</v>
      </c>
      <c r="O11" s="144" t="e">
        <f>F11-#REF!</f>
        <v>#REF!</v>
      </c>
      <c r="P11" s="106" t="e">
        <f>#N/A</f>
        <v>#REF!</v>
      </c>
      <c r="Q11" s="158" t="e">
        <f>#N/A</f>
        <v>#REF!</v>
      </c>
      <c r="R11" s="37"/>
      <c r="S11" s="94"/>
      <c r="T11" s="147">
        <f>#N/A</f>
        <v>0</v>
      </c>
    </row>
    <row r="12" spans="1:20" s="6" customFormat="1" ht="18">
      <c r="A12" s="8"/>
      <c r="B12" s="121" t="s">
        <v>88</v>
      </c>
      <c r="C12" s="102">
        <v>11010400</v>
      </c>
      <c r="D12" s="103">
        <v>6500</v>
      </c>
      <c r="E12" s="103">
        <f>#N/A</f>
        <v>6500</v>
      </c>
      <c r="F12" s="318">
        <v>10663.92</v>
      </c>
      <c r="G12" s="103">
        <f>#N/A</f>
        <v>4163.92</v>
      </c>
      <c r="H12" s="30">
        <f>#N/A</f>
        <v>164.06030769230767</v>
      </c>
      <c r="I12" s="104">
        <f>#N/A</f>
        <v>4163.92</v>
      </c>
      <c r="J12" s="104">
        <f>#N/A</f>
        <v>164.06030769230767</v>
      </c>
      <c r="K12" s="106">
        <v>5604.18</v>
      </c>
      <c r="L12" s="106">
        <f>#N/A</f>
        <v>5059.74</v>
      </c>
      <c r="M12" s="207">
        <f>#N/A</f>
        <v>1.9028510861535495</v>
      </c>
      <c r="N12" s="105" t="e">
        <f>E12-#REF!</f>
        <v>#REF!</v>
      </c>
      <c r="O12" s="144" t="e">
        <f>F12-#REF!</f>
        <v>#REF!</v>
      </c>
      <c r="P12" s="106" t="e">
        <f>#N/A</f>
        <v>#REF!</v>
      </c>
      <c r="Q12" s="158" t="e">
        <f>#N/A</f>
        <v>#REF!</v>
      </c>
      <c r="R12" s="37"/>
      <c r="S12" s="94"/>
      <c r="T12" s="147">
        <f>#N/A</f>
        <v>0</v>
      </c>
    </row>
    <row r="13" spans="1:20" s="6" customFormat="1" ht="18">
      <c r="A13" s="8"/>
      <c r="B13" s="121" t="s">
        <v>86</v>
      </c>
      <c r="C13" s="102">
        <v>11010500</v>
      </c>
      <c r="D13" s="103">
        <v>12400</v>
      </c>
      <c r="E13" s="103">
        <f>#N/A</f>
        <v>12400</v>
      </c>
      <c r="F13" s="318">
        <v>9532.64</v>
      </c>
      <c r="G13" s="103">
        <f>#N/A</f>
        <v>-2867.3600000000006</v>
      </c>
      <c r="H13" s="30">
        <f>#N/A</f>
        <v>76.87612903225805</v>
      </c>
      <c r="I13" s="104">
        <f>#N/A</f>
        <v>-2867.3600000000006</v>
      </c>
      <c r="J13" s="104">
        <f>#N/A</f>
        <v>76.87612903225805</v>
      </c>
      <c r="K13" s="106">
        <v>7282.62</v>
      </c>
      <c r="L13" s="106">
        <f>#N/A</f>
        <v>2250.0199999999995</v>
      </c>
      <c r="M13" s="207">
        <f>#N/A</f>
        <v>1.3089574905734473</v>
      </c>
      <c r="N13" s="105" t="e">
        <f>E13-#REF!</f>
        <v>#REF!</v>
      </c>
      <c r="O13" s="144" t="e">
        <f>F13-#REF!</f>
        <v>#REF!</v>
      </c>
      <c r="P13" s="106" t="e">
        <f>#N/A</f>
        <v>#REF!</v>
      </c>
      <c r="Q13" s="158" t="e">
        <f>#N/A</f>
        <v>#REF!</v>
      </c>
      <c r="R13" s="37"/>
      <c r="S13" s="94"/>
      <c r="T13" s="147">
        <f>#N/A</f>
        <v>0</v>
      </c>
    </row>
    <row r="14" spans="1:22" s="6" customFormat="1" ht="18">
      <c r="A14" s="8"/>
      <c r="B14" s="121" t="s">
        <v>87</v>
      </c>
      <c r="C14" s="102">
        <v>11010900</v>
      </c>
      <c r="D14" s="103">
        <v>3480</v>
      </c>
      <c r="E14" s="103">
        <f>#N/A</f>
        <v>3480</v>
      </c>
      <c r="F14" s="318">
        <v>3120.73</v>
      </c>
      <c r="G14" s="103">
        <f>#N/A</f>
        <v>-359.27</v>
      </c>
      <c r="H14" s="30">
        <f>#N/A</f>
        <v>89.67614942528735</v>
      </c>
      <c r="I14" s="104">
        <f>#N/A</f>
        <v>-359.27</v>
      </c>
      <c r="J14" s="104">
        <f>#N/A</f>
        <v>89.67614942528735</v>
      </c>
      <c r="K14" s="106">
        <v>9236.82</v>
      </c>
      <c r="L14" s="106">
        <f>#N/A</f>
        <v>-6116.09</v>
      </c>
      <c r="M14" s="207">
        <f>#N/A</f>
        <v>0.337857617664954</v>
      </c>
      <c r="N14" s="105" t="e">
        <f>E14-#REF!</f>
        <v>#REF!</v>
      </c>
      <c r="O14" s="144" t="e">
        <f>F14-#REF!</f>
        <v>#REF!</v>
      </c>
      <c r="P14" s="106" t="e">
        <f>#N/A</f>
        <v>#REF!</v>
      </c>
      <c r="Q14" s="158" t="e">
        <f>#N/A</f>
        <v>#REF!</v>
      </c>
      <c r="R14" s="37"/>
      <c r="S14" s="94"/>
      <c r="T14" s="147">
        <f>#N/A</f>
        <v>0</v>
      </c>
      <c r="U14" s="224">
        <v>2880</v>
      </c>
      <c r="V14" s="147"/>
    </row>
    <row r="15" spans="1:20" s="6" customFormat="1" ht="30.75">
      <c r="A15" s="8"/>
      <c r="B15" s="12" t="s">
        <v>11</v>
      </c>
      <c r="C15" s="43">
        <v>11020200</v>
      </c>
      <c r="D15" s="150">
        <v>500</v>
      </c>
      <c r="E15" s="150">
        <f>#N/A</f>
        <v>500</v>
      </c>
      <c r="F15" s="317">
        <v>459.29</v>
      </c>
      <c r="G15" s="150">
        <f>#N/A</f>
        <v>-40.70999999999998</v>
      </c>
      <c r="H15" s="157">
        <f>F15/E15*100</f>
        <v>91.858</v>
      </c>
      <c r="I15" s="158">
        <f>#N/A</f>
        <v>-40.70999999999998</v>
      </c>
      <c r="J15" s="158">
        <f>#N/A</f>
        <v>91.858</v>
      </c>
      <c r="K15" s="161">
        <v>-522.93</v>
      </c>
      <c r="L15" s="161">
        <f>#N/A</f>
        <v>982.22</v>
      </c>
      <c r="M15" s="208">
        <f>#N/A</f>
        <v>-0.8783011110473679</v>
      </c>
      <c r="N15" s="157" t="e">
        <f>E15-#REF!</f>
        <v>#REF!</v>
      </c>
      <c r="O15" s="160" t="e">
        <f>F15-#REF!</f>
        <v>#REF!</v>
      </c>
      <c r="P15" s="161" t="e">
        <f>#N/A</f>
        <v>#REF!</v>
      </c>
      <c r="Q15" s="158" t="e">
        <f>#N/A</f>
        <v>#REF!</v>
      </c>
      <c r="R15" s="37"/>
      <c r="S15" s="94"/>
      <c r="T15" s="147">
        <f>#N/A</f>
        <v>0</v>
      </c>
    </row>
    <row r="16" spans="1:20" s="6" customFormat="1" ht="18" hidden="1">
      <c r="A16" s="8"/>
      <c r="B16" s="50" t="s">
        <v>65</v>
      </c>
      <c r="C16" s="102">
        <v>11010232</v>
      </c>
      <c r="D16" s="103">
        <v>0</v>
      </c>
      <c r="E16" s="150">
        <f>#N/A</f>
        <v>0</v>
      </c>
      <c r="F16" s="318">
        <v>0</v>
      </c>
      <c r="G16" s="34">
        <f>#N/A</f>
        <v>0</v>
      </c>
      <c r="H16" s="30" t="e">
        <f>#N/A</f>
        <v>#DIV/0!</v>
      </c>
      <c r="I16" s="37">
        <f>#N/A</f>
        <v>0</v>
      </c>
      <c r="J16" s="37" t="e">
        <f>#N/A</f>
        <v>#DIV/0!</v>
      </c>
      <c r="K16" s="106">
        <v>381.9</v>
      </c>
      <c r="L16" s="161">
        <f>#N/A</f>
        <v>-381.9</v>
      </c>
      <c r="M16" s="208">
        <f>#N/A</f>
        <v>0</v>
      </c>
      <c r="N16" s="157" t="e">
        <f>E16-#REF!</f>
        <v>#REF!</v>
      </c>
      <c r="O16" s="160" t="e">
        <f>F16-#REF!</f>
        <v>#REF!</v>
      </c>
      <c r="P16" s="36" t="e">
        <f>#N/A</f>
        <v>#REF!</v>
      </c>
      <c r="Q16" s="158" t="e">
        <f>#N/A</f>
        <v>#REF!</v>
      </c>
      <c r="R16" s="104" t="e">
        <f>O16-358.81</f>
        <v>#REF!</v>
      </c>
      <c r="S16" s="109" t="e">
        <f>O16/358.79</f>
        <v>#REF!</v>
      </c>
      <c r="T16" s="147">
        <f>#N/A</f>
        <v>0</v>
      </c>
    </row>
    <row r="17" spans="1:20" s="6" customFormat="1" ht="30.75">
      <c r="A17" s="8"/>
      <c r="B17" s="44" t="s">
        <v>116</v>
      </c>
      <c r="C17" s="120">
        <v>13010200</v>
      </c>
      <c r="D17" s="162">
        <v>0</v>
      </c>
      <c r="E17" s="150">
        <f>#N/A</f>
        <v>0</v>
      </c>
      <c r="F17" s="319">
        <v>0.17</v>
      </c>
      <c r="G17" s="162">
        <f>#N/A</f>
        <v>0.17</v>
      </c>
      <c r="H17" s="164"/>
      <c r="I17" s="165">
        <f>#N/A</f>
        <v>0.17</v>
      </c>
      <c r="J17" s="165"/>
      <c r="K17" s="167">
        <v>0.14</v>
      </c>
      <c r="L17" s="161">
        <f>#N/A</f>
        <v>0.03</v>
      </c>
      <c r="M17" s="208">
        <f>#N/A</f>
        <v>1.2142857142857142</v>
      </c>
      <c r="N17" s="157" t="e">
        <f>E17-#REF!</f>
        <v>#REF!</v>
      </c>
      <c r="O17" s="160" t="e">
        <f>F17-#REF!</f>
        <v>#REF!</v>
      </c>
      <c r="P17" s="167" t="e">
        <f>#N/A</f>
        <v>#REF!</v>
      </c>
      <c r="Q17" s="158"/>
      <c r="R17" s="104"/>
      <c r="S17" s="109"/>
      <c r="T17" s="147">
        <f>#N/A</f>
        <v>0</v>
      </c>
    </row>
    <row r="18" spans="1:20" s="6" customFormat="1" ht="30.75">
      <c r="A18" s="8"/>
      <c r="B18" s="13" t="s">
        <v>117</v>
      </c>
      <c r="C18" s="43">
        <v>13030200</v>
      </c>
      <c r="D18" s="150">
        <v>105.8</v>
      </c>
      <c r="E18" s="150">
        <f>#N/A</f>
        <v>105.8</v>
      </c>
      <c r="F18" s="317">
        <v>124.7</v>
      </c>
      <c r="G18" s="150">
        <f>#N/A</f>
        <v>18.900000000000006</v>
      </c>
      <c r="H18" s="157">
        <f>#N/A</f>
        <v>117.86389413988658</v>
      </c>
      <c r="I18" s="158">
        <f>#N/A</f>
        <v>18.900000000000006</v>
      </c>
      <c r="J18" s="158">
        <f>#N/A</f>
        <v>117.86389413988658</v>
      </c>
      <c r="K18" s="161">
        <v>107.4</v>
      </c>
      <c r="L18" s="161">
        <f>#N/A</f>
        <v>17.299999999999997</v>
      </c>
      <c r="M18" s="208">
        <f>#N/A</f>
        <v>1.1610800744878957</v>
      </c>
      <c r="N18" s="157" t="e">
        <f>E18-#REF!</f>
        <v>#REF!</v>
      </c>
      <c r="O18" s="160" t="e">
        <f>F18-#REF!</f>
        <v>#REF!</v>
      </c>
      <c r="P18" s="161" t="e">
        <f>#N/A</f>
        <v>#REF!</v>
      </c>
      <c r="Q18" s="158"/>
      <c r="R18" s="37"/>
      <c r="S18" s="94"/>
      <c r="T18" s="147">
        <f>#N/A</f>
        <v>0</v>
      </c>
    </row>
    <row r="19" spans="1:21" s="6" customFormat="1" ht="46.5">
      <c r="A19" s="8"/>
      <c r="B19" s="44" t="s">
        <v>72</v>
      </c>
      <c r="C19" s="43">
        <v>14040000</v>
      </c>
      <c r="D19" s="150">
        <f>109900-8900</f>
        <v>101000</v>
      </c>
      <c r="E19" s="150">
        <f>#N/A</f>
        <v>101000</v>
      </c>
      <c r="F19" s="317">
        <v>101799.72</v>
      </c>
      <c r="G19" s="150">
        <f>#N/A</f>
        <v>799.7200000000012</v>
      </c>
      <c r="H19" s="157">
        <f>#N/A</f>
        <v>100.79180198019802</v>
      </c>
      <c r="I19" s="158">
        <f>#N/A</f>
        <v>799.7200000000012</v>
      </c>
      <c r="J19" s="158">
        <f>#N/A</f>
        <v>100.79180198019802</v>
      </c>
      <c r="K19" s="169">
        <v>70426.38</v>
      </c>
      <c r="L19" s="161">
        <f>#N/A</f>
        <v>31373.339999999997</v>
      </c>
      <c r="M19" s="213">
        <f>#N/A</f>
        <v>1.4454771067318808</v>
      </c>
      <c r="N19" s="157" t="e">
        <f>E19-#REF!</f>
        <v>#REF!</v>
      </c>
      <c r="O19" s="160" t="e">
        <f>F19-#REF!</f>
        <v>#REF!</v>
      </c>
      <c r="P19" s="161" t="e">
        <f>#N/A</f>
        <v>#REF!</v>
      </c>
      <c r="Q19" s="158" t="e">
        <f>#N/A</f>
        <v>#REF!</v>
      </c>
      <c r="R19" s="107"/>
      <c r="S19" s="108"/>
      <c r="T19" s="147">
        <f>#N/A</f>
        <v>0</v>
      </c>
      <c r="U19" s="6">
        <v>3348</v>
      </c>
    </row>
    <row r="20" spans="1:20" s="6" customFormat="1" ht="18">
      <c r="A20" s="8"/>
      <c r="B20" s="117" t="s">
        <v>73</v>
      </c>
      <c r="C20" s="43">
        <v>18000000</v>
      </c>
      <c r="D20" s="150">
        <f>D21+D30+D32+D29</f>
        <v>336159.65</v>
      </c>
      <c r="E20" s="150">
        <f>E21+E30+E32+E29</f>
        <v>336159.65</v>
      </c>
      <c r="F20" s="320">
        <f>F21+F29+F30+F31+F32</f>
        <v>340503.51</v>
      </c>
      <c r="G20" s="150">
        <f>#N/A</f>
        <v>4343.859999999986</v>
      </c>
      <c r="H20" s="157">
        <f>#N/A</f>
        <v>101.2922014881917</v>
      </c>
      <c r="I20" s="158">
        <f>#N/A</f>
        <v>4343.859999999986</v>
      </c>
      <c r="J20" s="158">
        <f>#N/A</f>
        <v>101.2922014881917</v>
      </c>
      <c r="K20" s="158">
        <v>223108.59</v>
      </c>
      <c r="L20" s="161">
        <f>#N/A</f>
        <v>117394.92000000001</v>
      </c>
      <c r="M20" s="209">
        <f>#N/A</f>
        <v>1.5261783959102606</v>
      </c>
      <c r="N20" s="157" t="e">
        <f>N21+N30+N31+N32</f>
        <v>#REF!</v>
      </c>
      <c r="O20" s="160" t="e">
        <f>F20-#REF!</f>
        <v>#REF!</v>
      </c>
      <c r="P20" s="161" t="e">
        <f>#N/A</f>
        <v>#REF!</v>
      </c>
      <c r="Q20" s="158" t="e">
        <f>#N/A</f>
        <v>#REF!</v>
      </c>
      <c r="R20" s="107"/>
      <c r="S20" s="108"/>
      <c r="T20" s="147">
        <f>#N/A</f>
        <v>0</v>
      </c>
    </row>
    <row r="21" spans="1:20" s="6" customFormat="1" ht="18">
      <c r="A21" s="8"/>
      <c r="B21" s="44" t="s">
        <v>81</v>
      </c>
      <c r="C21" s="114">
        <v>18010000</v>
      </c>
      <c r="D21" s="150">
        <f>D22+D25+D26</f>
        <v>180544.65</v>
      </c>
      <c r="E21" s="150">
        <f>E22+E25+E26</f>
        <v>180544.65</v>
      </c>
      <c r="F21" s="321">
        <f>F22+F25+F26</f>
        <v>182295.05000000002</v>
      </c>
      <c r="G21" s="150">
        <f>#N/A</f>
        <v>1750.4000000000233</v>
      </c>
      <c r="H21" s="157">
        <f>#N/A</f>
        <v>100.96951086614862</v>
      </c>
      <c r="I21" s="158">
        <f>#N/A</f>
        <v>1750.4000000000233</v>
      </c>
      <c r="J21" s="158">
        <f>#N/A</f>
        <v>100.96951086614862</v>
      </c>
      <c r="K21" s="158">
        <v>119601.42</v>
      </c>
      <c r="L21" s="161">
        <f>#N/A</f>
        <v>62693.63000000002</v>
      </c>
      <c r="M21" s="209">
        <f>#N/A</f>
        <v>1.524188007132357</v>
      </c>
      <c r="N21" s="157" t="e">
        <f>N22+N25+N26</f>
        <v>#REF!</v>
      </c>
      <c r="O21" s="160" t="e">
        <f>F21-#REF!</f>
        <v>#REF!</v>
      </c>
      <c r="P21" s="161" t="e">
        <f>#N/A</f>
        <v>#REF!</v>
      </c>
      <c r="Q21" s="158" t="e">
        <f>#N/A</f>
        <v>#REF!</v>
      </c>
      <c r="R21" s="107"/>
      <c r="S21" s="108"/>
      <c r="T21" s="147">
        <f>#N/A</f>
        <v>0</v>
      </c>
    </row>
    <row r="22" spans="1:21" s="6" customFormat="1" ht="18">
      <c r="A22" s="8"/>
      <c r="B22" s="50" t="s">
        <v>74</v>
      </c>
      <c r="C22" s="123"/>
      <c r="D22" s="171">
        <f>18500+2500</f>
        <v>21000</v>
      </c>
      <c r="E22" s="171">
        <f>#N/A</f>
        <v>21000</v>
      </c>
      <c r="F22" s="322">
        <v>21482.16</v>
      </c>
      <c r="G22" s="171">
        <f>#N/A</f>
        <v>482.15999999999985</v>
      </c>
      <c r="H22" s="173">
        <f>#N/A</f>
        <v>102.296</v>
      </c>
      <c r="I22" s="174">
        <f>#N/A</f>
        <v>482.15999999999985</v>
      </c>
      <c r="J22" s="174">
        <f>#N/A</f>
        <v>102.296</v>
      </c>
      <c r="K22" s="175">
        <v>13340.12</v>
      </c>
      <c r="L22" s="166">
        <f>#N/A</f>
        <v>8142.039999999999</v>
      </c>
      <c r="M22" s="215">
        <f>#N/A</f>
        <v>1.6103423357511026</v>
      </c>
      <c r="N22" s="173" t="e">
        <f>E22-#REF!</f>
        <v>#REF!</v>
      </c>
      <c r="O22" s="176" t="e">
        <f>F22-#REF!</f>
        <v>#REF!</v>
      </c>
      <c r="P22" s="177" t="e">
        <f>#N/A</f>
        <v>#REF!</v>
      </c>
      <c r="Q22" s="174" t="e">
        <f>#N/A</f>
        <v>#REF!</v>
      </c>
      <c r="R22" s="107"/>
      <c r="S22" s="108"/>
      <c r="T22" s="147">
        <f>#N/A</f>
        <v>0</v>
      </c>
      <c r="U22" s="147"/>
    </row>
    <row r="23" spans="1:21" s="6" customFormat="1" ht="18">
      <c r="A23" s="8"/>
      <c r="B23" s="196" t="s">
        <v>109</v>
      </c>
      <c r="C23" s="197"/>
      <c r="D23" s="198">
        <v>2000</v>
      </c>
      <c r="E23" s="198">
        <f>#N/A</f>
        <v>2000</v>
      </c>
      <c r="F23" s="319">
        <v>842.7</v>
      </c>
      <c r="G23" s="198">
        <f>#N/A</f>
        <v>-1157.3</v>
      </c>
      <c r="H23" s="199">
        <f>#N/A</f>
        <v>42.135</v>
      </c>
      <c r="I23" s="200">
        <f>#N/A</f>
        <v>-1157.3</v>
      </c>
      <c r="J23" s="200">
        <f>#N/A</f>
        <v>42.135</v>
      </c>
      <c r="K23" s="200">
        <v>716.11</v>
      </c>
      <c r="L23" s="200">
        <f>#N/A</f>
        <v>126.59000000000003</v>
      </c>
      <c r="M23" s="228">
        <f>#N/A</f>
        <v>1.1767745178813311</v>
      </c>
      <c r="N23" s="199" t="e">
        <f>E23-#REF!</f>
        <v>#REF!</v>
      </c>
      <c r="O23" s="199" t="e">
        <f>F23-#REF!</f>
        <v>#REF!</v>
      </c>
      <c r="P23" s="200" t="e">
        <f>#N/A</f>
        <v>#REF!</v>
      </c>
      <c r="Q23" s="200" t="e">
        <f>#N/A</f>
        <v>#REF!</v>
      </c>
      <c r="R23" s="107"/>
      <c r="S23" s="108"/>
      <c r="T23" s="147">
        <f>#N/A</f>
        <v>0</v>
      </c>
      <c r="U23" s="147"/>
    </row>
    <row r="24" spans="1:21" s="6" customFormat="1" ht="18">
      <c r="A24" s="8"/>
      <c r="B24" s="196" t="s">
        <v>110</v>
      </c>
      <c r="C24" s="197"/>
      <c r="D24" s="198">
        <f>16500+2500</f>
        <v>19000</v>
      </c>
      <c r="E24" s="198">
        <f>#N/A</f>
        <v>19000</v>
      </c>
      <c r="F24" s="319">
        <v>20639.46</v>
      </c>
      <c r="G24" s="198">
        <f>#N/A</f>
        <v>1639.4599999999991</v>
      </c>
      <c r="H24" s="199">
        <f>#N/A</f>
        <v>108.62873684210525</v>
      </c>
      <c r="I24" s="200">
        <f>#N/A</f>
        <v>1639.4599999999991</v>
      </c>
      <c r="J24" s="200">
        <f>#N/A</f>
        <v>108.62873684210525</v>
      </c>
      <c r="K24" s="200">
        <v>12624.02</v>
      </c>
      <c r="L24" s="200">
        <f>#N/A</f>
        <v>8015.439999999999</v>
      </c>
      <c r="M24" s="228">
        <f>#N/A</f>
        <v>1.6349356227255658</v>
      </c>
      <c r="N24" s="199" t="e">
        <f>E24-#REF!</f>
        <v>#REF!</v>
      </c>
      <c r="O24" s="199" t="e">
        <f>F24-#REF!</f>
        <v>#REF!</v>
      </c>
      <c r="P24" s="200" t="e">
        <f>#N/A</f>
        <v>#REF!</v>
      </c>
      <c r="Q24" s="200" t="e">
        <f>#N/A</f>
        <v>#REF!</v>
      </c>
      <c r="R24" s="107"/>
      <c r="S24" s="108"/>
      <c r="T24" s="147">
        <f>#N/A</f>
        <v>0</v>
      </c>
      <c r="U24" s="147"/>
    </row>
    <row r="25" spans="1:20" s="6" customFormat="1" ht="18">
      <c r="A25" s="8"/>
      <c r="B25" s="50" t="s">
        <v>75</v>
      </c>
      <c r="C25" s="123"/>
      <c r="D25" s="171">
        <f>1000-155</f>
        <v>845</v>
      </c>
      <c r="E25" s="171">
        <f>#N/A</f>
        <v>845</v>
      </c>
      <c r="F25" s="322">
        <v>701.85</v>
      </c>
      <c r="G25" s="171">
        <f>#N/A</f>
        <v>-143.14999999999998</v>
      </c>
      <c r="H25" s="173">
        <f>#N/A</f>
        <v>83.05917159763314</v>
      </c>
      <c r="I25" s="174">
        <f>#N/A</f>
        <v>-143.14999999999998</v>
      </c>
      <c r="J25" s="174">
        <f>#N/A</f>
        <v>83.05917159763314</v>
      </c>
      <c r="K25" s="174">
        <v>3879.26</v>
      </c>
      <c r="L25" s="174">
        <f>#N/A</f>
        <v>-3177.4100000000003</v>
      </c>
      <c r="M25" s="212">
        <f>#N/A</f>
        <v>0.18092368132066425</v>
      </c>
      <c r="N25" s="173" t="e">
        <f>E25-#REF!</f>
        <v>#REF!</v>
      </c>
      <c r="O25" s="176" t="e">
        <f>F25-#REF!</f>
        <v>#REF!</v>
      </c>
      <c r="P25" s="177" t="e">
        <f>#N/A</f>
        <v>#REF!</v>
      </c>
      <c r="Q25" s="174"/>
      <c r="R25" s="107"/>
      <c r="S25" s="108"/>
      <c r="T25" s="147">
        <f>#N/A</f>
        <v>0</v>
      </c>
    </row>
    <row r="26" spans="1:20" s="6" customFormat="1" ht="18">
      <c r="A26" s="8"/>
      <c r="B26" s="50" t="s">
        <v>76</v>
      </c>
      <c r="C26" s="123"/>
      <c r="D26" s="171">
        <v>158699.65</v>
      </c>
      <c r="E26" s="171">
        <f>#N/A</f>
        <v>158699.65</v>
      </c>
      <c r="F26" s="322">
        <v>160111.04</v>
      </c>
      <c r="G26" s="171">
        <f>#N/A</f>
        <v>1411.390000000014</v>
      </c>
      <c r="H26" s="173">
        <f>#N/A</f>
        <v>100.88934663687034</v>
      </c>
      <c r="I26" s="174">
        <f>#N/A</f>
        <v>1411.390000000014</v>
      </c>
      <c r="J26" s="174">
        <f>#N/A</f>
        <v>100.88934663687034</v>
      </c>
      <c r="K26" s="175">
        <v>102382.03</v>
      </c>
      <c r="L26" s="175">
        <f>#N/A</f>
        <v>57729.01000000001</v>
      </c>
      <c r="M26" s="211">
        <f>#N/A</f>
        <v>1.5638588138953682</v>
      </c>
      <c r="N26" s="173" t="e">
        <f>E26-#REF!</f>
        <v>#REF!</v>
      </c>
      <c r="O26" s="176" t="e">
        <f>F26-#REF!</f>
        <v>#REF!</v>
      </c>
      <c r="P26" s="177" t="e">
        <f>#N/A</f>
        <v>#REF!</v>
      </c>
      <c r="Q26" s="174" t="e">
        <f>O26/N26*100</f>
        <v>#REF!</v>
      </c>
      <c r="R26" s="107"/>
      <c r="S26" s="108"/>
      <c r="T26" s="147">
        <f>#N/A</f>
        <v>0</v>
      </c>
    </row>
    <row r="27" spans="1:20" s="6" customFormat="1" ht="18">
      <c r="A27" s="8"/>
      <c r="B27" s="196" t="s">
        <v>111</v>
      </c>
      <c r="C27" s="197"/>
      <c r="D27" s="198">
        <f>47367+1218+1182</f>
        <v>49767</v>
      </c>
      <c r="E27" s="198">
        <f>#N/A</f>
        <v>49767</v>
      </c>
      <c r="F27" s="319">
        <v>49911.97</v>
      </c>
      <c r="G27" s="198">
        <f>#N/A</f>
        <v>144.97000000000116</v>
      </c>
      <c r="H27" s="199">
        <f>#N/A</f>
        <v>100.29129744609881</v>
      </c>
      <c r="I27" s="200">
        <f>#N/A</f>
        <v>144.97000000000116</v>
      </c>
      <c r="J27" s="200">
        <f>#N/A</f>
        <v>100.29129744609881</v>
      </c>
      <c r="K27" s="200">
        <v>27811.39</v>
      </c>
      <c r="L27" s="200">
        <f>#N/A</f>
        <v>22100.58</v>
      </c>
      <c r="M27" s="228">
        <f>#N/A</f>
        <v>1.7946593104479855</v>
      </c>
      <c r="N27" s="199" t="e">
        <f>E27-#REF!</f>
        <v>#REF!</v>
      </c>
      <c r="O27" s="199" t="e">
        <f>F27-#REF!</f>
        <v>#REF!</v>
      </c>
      <c r="P27" s="200" t="e">
        <f>#N/A</f>
        <v>#REF!</v>
      </c>
      <c r="Q27" s="200" t="e">
        <f>O27/N27*100</f>
        <v>#REF!</v>
      </c>
      <c r="R27" s="107"/>
      <c r="S27" s="108"/>
      <c r="T27" s="147">
        <f>#N/A</f>
        <v>0</v>
      </c>
    </row>
    <row r="28" spans="1:20" s="6" customFormat="1" ht="18">
      <c r="A28" s="8"/>
      <c r="B28" s="196" t="s">
        <v>112</v>
      </c>
      <c r="C28" s="197"/>
      <c r="D28" s="198">
        <f>108032.65+200+700</f>
        <v>108932.65</v>
      </c>
      <c r="E28" s="198">
        <f>#N/A</f>
        <v>108932.65</v>
      </c>
      <c r="F28" s="319">
        <v>110199.06</v>
      </c>
      <c r="G28" s="198">
        <f>#N/A</f>
        <v>1266.4100000000035</v>
      </c>
      <c r="H28" s="199">
        <f>#N/A</f>
        <v>101.16256237225478</v>
      </c>
      <c r="I28" s="200">
        <f>#N/A</f>
        <v>1266.4100000000035</v>
      </c>
      <c r="J28" s="200">
        <f>#N/A</f>
        <v>101.16256237225478</v>
      </c>
      <c r="K28" s="200">
        <v>74570.64</v>
      </c>
      <c r="L28" s="200">
        <f>#N/A</f>
        <v>35628.42</v>
      </c>
      <c r="M28" s="228">
        <f>#N/A</f>
        <v>1.4777807995210983</v>
      </c>
      <c r="N28" s="199" t="e">
        <f>E28-#REF!</f>
        <v>#REF!</v>
      </c>
      <c r="O28" s="199" t="e">
        <f>F28-#REF!</f>
        <v>#REF!</v>
      </c>
      <c r="P28" s="200" t="e">
        <f>#N/A</f>
        <v>#REF!</v>
      </c>
      <c r="Q28" s="200" t="e">
        <f>O28/N28*100</f>
        <v>#REF!</v>
      </c>
      <c r="R28" s="107"/>
      <c r="S28" s="108"/>
      <c r="T28" s="147">
        <f>#N/A</f>
        <v>0</v>
      </c>
    </row>
    <row r="29" spans="1:20" s="6" customFormat="1" ht="18">
      <c r="A29" s="8"/>
      <c r="B29" s="44" t="s">
        <v>115</v>
      </c>
      <c r="C29" s="222">
        <v>18020000</v>
      </c>
      <c r="D29" s="162">
        <v>0</v>
      </c>
      <c r="E29" s="162">
        <f>#N/A</f>
        <v>0</v>
      </c>
      <c r="F29" s="323">
        <v>0.15</v>
      </c>
      <c r="G29" s="150">
        <f>#N/A</f>
        <v>0.15</v>
      </c>
      <c r="H29" s="157"/>
      <c r="I29" s="158">
        <f>#N/A</f>
        <v>0.15</v>
      </c>
      <c r="J29" s="158"/>
      <c r="K29" s="167">
        <v>0</v>
      </c>
      <c r="L29" s="158">
        <f>#N/A</f>
        <v>0.15</v>
      </c>
      <c r="M29" s="210"/>
      <c r="N29" s="157" t="e">
        <f>E29-#REF!</f>
        <v>#REF!</v>
      </c>
      <c r="O29" s="160" t="e">
        <f>F29-#REF!</f>
        <v>#REF!</v>
      </c>
      <c r="P29" s="161" t="e">
        <f>#N/A</f>
        <v>#REF!</v>
      </c>
      <c r="Q29" s="158"/>
      <c r="R29" s="107"/>
      <c r="S29" s="108"/>
      <c r="T29" s="147">
        <f>#N/A</f>
        <v>0</v>
      </c>
    </row>
    <row r="30" spans="1:20" s="6" customFormat="1" ht="18">
      <c r="A30" s="8"/>
      <c r="B30" s="44" t="s">
        <v>82</v>
      </c>
      <c r="C30" s="114">
        <v>18030000</v>
      </c>
      <c r="D30" s="150">
        <f>77+38</f>
        <v>115</v>
      </c>
      <c r="E30" s="150">
        <f>#N/A</f>
        <v>115</v>
      </c>
      <c r="F30" s="317">
        <v>117.68</v>
      </c>
      <c r="G30" s="150">
        <f>#N/A</f>
        <v>2.680000000000007</v>
      </c>
      <c r="H30" s="157">
        <f>#N/A</f>
        <v>102.3304347826087</v>
      </c>
      <c r="I30" s="158">
        <f>#N/A</f>
        <v>2.680000000000007</v>
      </c>
      <c r="J30" s="158">
        <f>#N/A</f>
        <v>102.3304347826087</v>
      </c>
      <c r="K30" s="158">
        <v>76.57</v>
      </c>
      <c r="L30" s="158">
        <f>#N/A</f>
        <v>41.110000000000014</v>
      </c>
      <c r="M30" s="210">
        <f>F30/K30</f>
        <v>1.536894345043751</v>
      </c>
      <c r="N30" s="157" t="e">
        <f>E30-#REF!</f>
        <v>#REF!</v>
      </c>
      <c r="O30" s="160" t="e">
        <f>F30-#REF!</f>
        <v>#REF!</v>
      </c>
      <c r="P30" s="161" t="e">
        <f>#N/A</f>
        <v>#REF!</v>
      </c>
      <c r="Q30" s="158" t="e">
        <f>O30/N30*100</f>
        <v>#REF!</v>
      </c>
      <c r="R30" s="107"/>
      <c r="S30" s="108"/>
      <c r="T30" s="147">
        <f>#N/A</f>
        <v>0</v>
      </c>
    </row>
    <row r="31" spans="1:20" s="6" customFormat="1" ht="49.5" customHeight="1">
      <c r="A31" s="8"/>
      <c r="B31" s="44" t="s">
        <v>83</v>
      </c>
      <c r="C31" s="114">
        <v>18040000</v>
      </c>
      <c r="D31" s="150"/>
      <c r="E31" s="150"/>
      <c r="F31" s="317">
        <v>-177.97</v>
      </c>
      <c r="G31" s="150">
        <f>#N/A</f>
        <v>-177.97</v>
      </c>
      <c r="H31" s="157"/>
      <c r="I31" s="158">
        <f>#N/A</f>
        <v>-177.97</v>
      </c>
      <c r="J31" s="158"/>
      <c r="K31" s="158">
        <v>-838.98</v>
      </c>
      <c r="L31" s="158">
        <f>#N/A</f>
        <v>661.01</v>
      </c>
      <c r="M31" s="210">
        <f>F31/K31</f>
        <v>0.21212662995542206</v>
      </c>
      <c r="N31" s="157" t="e">
        <f>E31-#REF!</f>
        <v>#REF!</v>
      </c>
      <c r="O31" s="160" t="e">
        <f>F31-#REF!</f>
        <v>#REF!</v>
      </c>
      <c r="P31" s="161" t="e">
        <f>#N/A</f>
        <v>#REF!</v>
      </c>
      <c r="Q31" s="158"/>
      <c r="R31" s="107"/>
      <c r="S31" s="108"/>
      <c r="T31" s="147">
        <f>#N/A</f>
        <v>0</v>
      </c>
    </row>
    <row r="32" spans="1:20" s="6" customFormat="1" ht="18">
      <c r="A32" s="8"/>
      <c r="B32" s="44" t="s">
        <v>84</v>
      </c>
      <c r="C32" s="114">
        <v>18050000</v>
      </c>
      <c r="D32" s="162">
        <f>118000+23000+4100+10400</f>
        <v>155500</v>
      </c>
      <c r="E32" s="162">
        <f>D32</f>
        <v>155500</v>
      </c>
      <c r="F32" s="319">
        <v>158268.6</v>
      </c>
      <c r="G32" s="162">
        <f>#N/A</f>
        <v>2768.600000000006</v>
      </c>
      <c r="H32" s="164">
        <f>#N/A</f>
        <v>101.78045016077171</v>
      </c>
      <c r="I32" s="165">
        <f>#N/A</f>
        <v>2768.600000000006</v>
      </c>
      <c r="J32" s="165">
        <f>#N/A</f>
        <v>101.78045016077171</v>
      </c>
      <c r="K32" s="178">
        <v>104269.58</v>
      </c>
      <c r="L32" s="178">
        <f>F32-K32</f>
        <v>53999.020000000004</v>
      </c>
      <c r="M32" s="226">
        <f>F32/K32</f>
        <v>1.5178789441752811</v>
      </c>
      <c r="N32" s="157" t="e">
        <f>E32-#REF!</f>
        <v>#REF!</v>
      </c>
      <c r="O32" s="160" t="e">
        <f>F32-#REF!</f>
        <v>#REF!</v>
      </c>
      <c r="P32" s="167" t="e">
        <f>#N/A</f>
        <v>#REF!</v>
      </c>
      <c r="Q32" s="165" t="e">
        <f>O32/N32*100</f>
        <v>#REF!</v>
      </c>
      <c r="R32" s="107"/>
      <c r="S32" s="108"/>
      <c r="T32" s="147">
        <f>#N/A</f>
        <v>0</v>
      </c>
    </row>
    <row r="33" spans="1:20" s="6" customFormat="1" ht="15">
      <c r="A33" s="8"/>
      <c r="B33" s="50" t="s">
        <v>90</v>
      </c>
      <c r="C33" s="102">
        <v>18050200</v>
      </c>
      <c r="D33" s="103">
        <v>0</v>
      </c>
      <c r="E33" s="103">
        <f>D33</f>
        <v>0</v>
      </c>
      <c r="F33" s="318">
        <v>0.23</v>
      </c>
      <c r="G33" s="103">
        <f>#N/A</f>
        <v>0.23</v>
      </c>
      <c r="H33" s="105"/>
      <c r="I33" s="104">
        <f>#N/A</f>
        <v>0.23</v>
      </c>
      <c r="J33" s="104"/>
      <c r="K33" s="127">
        <v>-1.15</v>
      </c>
      <c r="L33" s="127">
        <f>#N/A</f>
        <v>1.38</v>
      </c>
      <c r="M33" s="216">
        <f>#N/A</f>
        <v>-0.2</v>
      </c>
      <c r="N33" s="105" t="e">
        <f>E33-#REF!</f>
        <v>#REF!</v>
      </c>
      <c r="O33" s="144" t="e">
        <f>F33-#REF!</f>
        <v>#REF!</v>
      </c>
      <c r="P33" s="106" t="e">
        <f>#N/A</f>
        <v>#REF!</v>
      </c>
      <c r="Q33" s="104"/>
      <c r="R33" s="107"/>
      <c r="S33" s="108"/>
      <c r="T33" s="147">
        <f>#N/A</f>
        <v>0</v>
      </c>
    </row>
    <row r="34" spans="1:20" s="6" customFormat="1" ht="15">
      <c r="A34" s="8"/>
      <c r="B34" s="50" t="s">
        <v>91</v>
      </c>
      <c r="C34" s="102">
        <v>18050300</v>
      </c>
      <c r="D34" s="103">
        <f>28217+6000+4100</f>
        <v>38317</v>
      </c>
      <c r="E34" s="103">
        <f>D34</f>
        <v>38317</v>
      </c>
      <c r="F34" s="318">
        <v>39173.72</v>
      </c>
      <c r="G34" s="103">
        <f>#N/A</f>
        <v>856.7200000000012</v>
      </c>
      <c r="H34" s="105">
        <f>#N/A</f>
        <v>102.23587441605555</v>
      </c>
      <c r="I34" s="104">
        <f>#N/A</f>
        <v>856.7200000000012</v>
      </c>
      <c r="J34" s="104">
        <f>#N/A</f>
        <v>102.23587441605555</v>
      </c>
      <c r="K34" s="127">
        <v>24618.58</v>
      </c>
      <c r="L34" s="127">
        <f>#N/A</f>
        <v>14555.14</v>
      </c>
      <c r="M34" s="216">
        <f>#N/A</f>
        <v>1.59122581399902</v>
      </c>
      <c r="N34" s="105" t="e">
        <f>E34-#REF!</f>
        <v>#REF!</v>
      </c>
      <c r="O34" s="144" t="e">
        <f>F34-#REF!</f>
        <v>#REF!</v>
      </c>
      <c r="P34" s="106" t="e">
        <f>#N/A</f>
        <v>#REF!</v>
      </c>
      <c r="Q34" s="104" t="e">
        <f>O34/N34*100</f>
        <v>#REF!</v>
      </c>
      <c r="R34" s="107"/>
      <c r="S34" s="108"/>
      <c r="T34" s="147">
        <f>#N/A</f>
        <v>0</v>
      </c>
    </row>
    <row r="35" spans="1:20" s="6" customFormat="1" ht="15">
      <c r="A35" s="8"/>
      <c r="B35" s="50" t="s">
        <v>92</v>
      </c>
      <c r="C35" s="102">
        <v>18050400</v>
      </c>
      <c r="D35" s="103">
        <f>89732+17000+10400</f>
        <v>117132</v>
      </c>
      <c r="E35" s="103">
        <f>D35</f>
        <v>117132</v>
      </c>
      <c r="F35" s="318">
        <v>119039.46</v>
      </c>
      <c r="G35" s="103">
        <f>#N/A</f>
        <v>1907.4600000000064</v>
      </c>
      <c r="H35" s="105">
        <f>#N/A</f>
        <v>101.6284704436021</v>
      </c>
      <c r="I35" s="104">
        <f>#N/A</f>
        <v>1907.4600000000064</v>
      </c>
      <c r="J35" s="104">
        <f>#N/A</f>
        <v>101.6284704436021</v>
      </c>
      <c r="K35" s="127">
        <v>79616.02</v>
      </c>
      <c r="L35" s="127">
        <f>#N/A</f>
        <v>39423.44</v>
      </c>
      <c r="M35" s="216">
        <f>#N/A</f>
        <v>1.495169690723048</v>
      </c>
      <c r="N35" s="105" t="e">
        <f>E35-#REF!</f>
        <v>#REF!</v>
      </c>
      <c r="O35" s="144" t="e">
        <f>F35-#REF!</f>
        <v>#REF!</v>
      </c>
      <c r="P35" s="106" t="e">
        <f>#N/A</f>
        <v>#REF!</v>
      </c>
      <c r="Q35" s="104" t="e">
        <f>O35/N35*100</f>
        <v>#REF!</v>
      </c>
      <c r="R35" s="107"/>
      <c r="S35" s="108"/>
      <c r="T35" s="147">
        <f>#N/A</f>
        <v>0</v>
      </c>
    </row>
    <row r="36" spans="1:20" s="6" customFormat="1" ht="15">
      <c r="A36" s="8"/>
      <c r="B36" s="50" t="s">
        <v>93</v>
      </c>
      <c r="C36" s="102">
        <v>18050500</v>
      </c>
      <c r="D36" s="103">
        <v>51</v>
      </c>
      <c r="E36" s="103">
        <f>D36</f>
        <v>51</v>
      </c>
      <c r="F36" s="318">
        <v>55.18</v>
      </c>
      <c r="G36" s="103">
        <f>#N/A</f>
        <v>4.18</v>
      </c>
      <c r="H36" s="105">
        <f>#N/A</f>
        <v>108.19607843137256</v>
      </c>
      <c r="I36" s="104">
        <f>#N/A</f>
        <v>4.18</v>
      </c>
      <c r="J36" s="104">
        <f>#N/A</f>
        <v>108.19607843137256</v>
      </c>
      <c r="K36" s="127">
        <v>36.13</v>
      </c>
      <c r="L36" s="127">
        <f>#N/A</f>
        <v>19.049999999999997</v>
      </c>
      <c r="M36" s="216">
        <f>#N/A</f>
        <v>1.5272626626072514</v>
      </c>
      <c r="N36" s="105" t="e">
        <f>E36-#REF!</f>
        <v>#REF!</v>
      </c>
      <c r="O36" s="144" t="e">
        <f>F36-#REF!</f>
        <v>#REF!</v>
      </c>
      <c r="P36" s="106" t="e">
        <f>#N/A</f>
        <v>#REF!</v>
      </c>
      <c r="Q36" s="104"/>
      <c r="R36" s="107"/>
      <c r="S36" s="108"/>
      <c r="T36" s="147">
        <f>#N/A</f>
        <v>0</v>
      </c>
    </row>
    <row r="37" spans="1:20" s="6" customFormat="1" ht="15" customHeight="1">
      <c r="A37" s="8"/>
      <c r="B37" s="44" t="s">
        <v>46</v>
      </c>
      <c r="C37" s="43">
        <v>19010000</v>
      </c>
      <c r="D37" s="34">
        <v>0</v>
      </c>
      <c r="E37" s="34">
        <v>0</v>
      </c>
      <c r="F37" s="324">
        <v>0</v>
      </c>
      <c r="G37" s="34">
        <f>#N/A</f>
        <v>0</v>
      </c>
      <c r="H37" s="30"/>
      <c r="I37" s="37">
        <f>#N/A</f>
        <v>0</v>
      </c>
      <c r="J37" s="37"/>
      <c r="K37" s="119">
        <v>6768.9</v>
      </c>
      <c r="L37" s="119">
        <f>#N/A</f>
        <v>-6768.9</v>
      </c>
      <c r="M37" s="217">
        <f>#N/A</f>
        <v>0</v>
      </c>
      <c r="N37" s="137" t="e">
        <f>E37-#REF!</f>
        <v>#REF!</v>
      </c>
      <c r="O37" s="145" t="e">
        <f>F37-#REF!</f>
        <v>#REF!</v>
      </c>
      <c r="P37" s="36" t="e">
        <f>#N/A</f>
        <v>#REF!</v>
      </c>
      <c r="Q37" s="37"/>
      <c r="R37" s="107"/>
      <c r="S37" s="108"/>
      <c r="T37" s="147">
        <f>#N/A</f>
        <v>0</v>
      </c>
    </row>
    <row r="38" spans="1:20" s="6" customFormat="1" ht="17.25">
      <c r="A38" s="7"/>
      <c r="B38" s="16" t="s">
        <v>12</v>
      </c>
      <c r="C38" s="70">
        <v>20000000</v>
      </c>
      <c r="D38" s="151">
        <f>D39+D40+D41+D42+D43+D45+D47+D48+D49+D50+D51+D56+D57+D61+D44</f>
        <v>67352.08</v>
      </c>
      <c r="E38" s="151">
        <f>E39+E40+E41+E42+E43+E45+E47+E48+E49+E50+E51+E56+E57+E61+E44</f>
        <v>67352.08</v>
      </c>
      <c r="F38" s="287">
        <f>F39+F40+F41+F42+F43+F45+F47+F48+F49+F50+F51+F56+F57+F61+F44</f>
        <v>68752.68</v>
      </c>
      <c r="G38" s="151">
        <f>G39+G40+G41+G42+G43+G45+G47+G48+G49+G50+G51+G56+G57+G61</f>
        <v>1399.2300000000002</v>
      </c>
      <c r="H38" s="152">
        <f>F38/E38*100</f>
        <v>102.07952003857935</v>
      </c>
      <c r="I38" s="153">
        <f>F38-D38</f>
        <v>1400.5999999999913</v>
      </c>
      <c r="J38" s="153">
        <f>F38/D38*100</f>
        <v>102.07952003857935</v>
      </c>
      <c r="K38" s="151">
        <v>50680.75</v>
      </c>
      <c r="L38" s="151">
        <f>#N/A</f>
        <v>18071.929999999993</v>
      </c>
      <c r="M38" s="205">
        <f>#N/A</f>
        <v>1.3565837127508964</v>
      </c>
      <c r="N38" s="151" t="e">
        <f>N39+N40+N41+N42+N43+N45+N47+N48+N49+N50+N51+N56+N57+N61+N44</f>
        <v>#REF!</v>
      </c>
      <c r="O38" s="151" t="e">
        <f>O39+O40+O41+O42+O43+O45+O47+O48+O49+O50+O51+O56+O57+O61+O44</f>
        <v>#REF!</v>
      </c>
      <c r="P38" s="151" t="e">
        <f>P39+P40+P41+P42+P43+P45+P47+P48+P49+P50+P51+P56+P57+P61</f>
        <v>#REF!</v>
      </c>
      <c r="Q38" s="151" t="e">
        <f>O38/N38*100</f>
        <v>#REF!</v>
      </c>
      <c r="R38" s="15" t="e">
        <f>#N/A</f>
        <v>#N/A</v>
      </c>
      <c r="S38" s="15" t="e">
        <f>#N/A</f>
        <v>#N/A</v>
      </c>
      <c r="T38" s="147">
        <f>#N/A</f>
        <v>0</v>
      </c>
    </row>
    <row r="39" spans="1:20" s="6" customFormat="1" ht="46.5">
      <c r="A39" s="8"/>
      <c r="B39" s="44" t="s">
        <v>98</v>
      </c>
      <c r="C39" s="43">
        <v>21010301</v>
      </c>
      <c r="D39" s="150">
        <f>400+150</f>
        <v>550</v>
      </c>
      <c r="E39" s="150">
        <f>#N/A</f>
        <v>550</v>
      </c>
      <c r="F39" s="317">
        <v>551.04</v>
      </c>
      <c r="G39" s="162">
        <f>F39-E39</f>
        <v>1.0399999999999636</v>
      </c>
      <c r="H39" s="164">
        <f>#N/A</f>
        <v>100.1890909090909</v>
      </c>
      <c r="I39" s="165">
        <f>F39-D39</f>
        <v>1.0399999999999636</v>
      </c>
      <c r="J39" s="165">
        <f>F39/D39*100</f>
        <v>100.1890909090909</v>
      </c>
      <c r="K39" s="165">
        <v>0.55</v>
      </c>
      <c r="L39" s="165">
        <f>#N/A</f>
        <v>550.49</v>
      </c>
      <c r="M39" s="218">
        <f>#N/A</f>
        <v>1001.890909090909</v>
      </c>
      <c r="N39" s="164" t="e">
        <f>E39-#REF!</f>
        <v>#REF!</v>
      </c>
      <c r="O39" s="168" t="e">
        <f>F39-#REF!</f>
        <v>#REF!</v>
      </c>
      <c r="P39" s="167" t="e">
        <f>O39-N39</f>
        <v>#REF!</v>
      </c>
      <c r="Q39" s="165" t="e">
        <f>#N/A</f>
        <v>#REF!</v>
      </c>
      <c r="R39" s="37"/>
      <c r="S39" s="94"/>
      <c r="T39" s="147">
        <f>#N/A</f>
        <v>0</v>
      </c>
    </row>
    <row r="40" spans="1:20" s="6" customFormat="1" ht="30.75">
      <c r="A40" s="8"/>
      <c r="B40" s="129" t="s">
        <v>77</v>
      </c>
      <c r="C40" s="42">
        <v>21050000</v>
      </c>
      <c r="D40" s="150">
        <f>25000+5007+5593</f>
        <v>35600</v>
      </c>
      <c r="E40" s="150">
        <f>#N/A</f>
        <v>35600</v>
      </c>
      <c r="F40" s="317">
        <v>36136.57</v>
      </c>
      <c r="G40" s="162">
        <f>#N/A</f>
        <v>536.5699999999997</v>
      </c>
      <c r="H40" s="164">
        <f>#N/A</f>
        <v>101.5072191011236</v>
      </c>
      <c r="I40" s="165">
        <f>#N/A</f>
        <v>536.5699999999997</v>
      </c>
      <c r="J40" s="165">
        <f>F40/D40*100</f>
        <v>101.5072191011236</v>
      </c>
      <c r="K40" s="165">
        <v>19275.42</v>
      </c>
      <c r="L40" s="165">
        <f>#N/A</f>
        <v>16861.15</v>
      </c>
      <c r="M40" s="218"/>
      <c r="N40" s="164" t="e">
        <f>E40-#REF!</f>
        <v>#REF!</v>
      </c>
      <c r="O40" s="168" t="e">
        <f>F40-#REF!</f>
        <v>#REF!</v>
      </c>
      <c r="P40" s="167" t="e">
        <f>#N/A</f>
        <v>#REF!</v>
      </c>
      <c r="Q40" s="165" t="e">
        <f>#N/A</f>
        <v>#REF!</v>
      </c>
      <c r="R40" s="37"/>
      <c r="S40" s="94"/>
      <c r="T40" s="147">
        <f>#N/A</f>
        <v>0</v>
      </c>
    </row>
    <row r="41" spans="1:20" s="6" customFormat="1" ht="18">
      <c r="A41" s="8"/>
      <c r="B41" s="129" t="s">
        <v>61</v>
      </c>
      <c r="C41" s="42">
        <v>21080500</v>
      </c>
      <c r="D41" s="150">
        <f>111.44-80.4</f>
        <v>31.039999999999992</v>
      </c>
      <c r="E41" s="150">
        <f>#N/A</f>
        <v>31.039999999999992</v>
      </c>
      <c r="F41" s="317">
        <v>31.98</v>
      </c>
      <c r="G41" s="162">
        <f>#N/A</f>
        <v>0.9400000000000084</v>
      </c>
      <c r="H41" s="164">
        <f>#N/A</f>
        <v>103.02835051546396</v>
      </c>
      <c r="I41" s="165">
        <f>#N/A</f>
        <v>0.9400000000000084</v>
      </c>
      <c r="J41" s="165">
        <f>#N/A</f>
        <v>103.02835051546396</v>
      </c>
      <c r="K41" s="165">
        <v>445.64</v>
      </c>
      <c r="L41" s="165">
        <f>#N/A</f>
        <v>-413.65999999999997</v>
      </c>
      <c r="M41" s="218">
        <f>#N/A</f>
        <v>0.07176196032672112</v>
      </c>
      <c r="N41" s="164" t="e">
        <f>E41-#REF!</f>
        <v>#REF!</v>
      </c>
      <c r="O41" s="168" t="e">
        <f>F41-#REF!</f>
        <v>#REF!</v>
      </c>
      <c r="P41" s="167" t="e">
        <f>#N/A</f>
        <v>#REF!</v>
      </c>
      <c r="Q41" s="165"/>
      <c r="R41" s="37"/>
      <c r="S41" s="94"/>
      <c r="T41" s="147">
        <f>#N/A</f>
        <v>0</v>
      </c>
    </row>
    <row r="42" spans="1:20" s="6" customFormat="1" ht="31.5">
      <c r="A42" s="8"/>
      <c r="B42" s="26" t="s">
        <v>39</v>
      </c>
      <c r="C42" s="71">
        <v>21080900</v>
      </c>
      <c r="D42" s="150">
        <f>6.5-6.5</f>
        <v>0</v>
      </c>
      <c r="E42" s="150">
        <f>#N/A</f>
        <v>0</v>
      </c>
      <c r="F42" s="317">
        <v>0.1</v>
      </c>
      <c r="G42" s="162">
        <f>#N/A</f>
        <v>0.1</v>
      </c>
      <c r="H42" s="164"/>
      <c r="I42" s="165">
        <f>#N/A</f>
        <v>0.1</v>
      </c>
      <c r="J42" s="165"/>
      <c r="K42" s="165">
        <v>1.02</v>
      </c>
      <c r="L42" s="165">
        <f>#N/A</f>
        <v>-0.92</v>
      </c>
      <c r="M42" s="218">
        <f>#N/A</f>
        <v>0.09803921568627451</v>
      </c>
      <c r="N42" s="164" t="e">
        <f>E42-#REF!</f>
        <v>#REF!</v>
      </c>
      <c r="O42" s="168" t="e">
        <f>F42-#REF!</f>
        <v>#REF!</v>
      </c>
      <c r="P42" s="167" t="e">
        <f>#N/A</f>
        <v>#REF!</v>
      </c>
      <c r="Q42" s="165"/>
      <c r="R42" s="37"/>
      <c r="S42" s="94"/>
      <c r="T42" s="147">
        <f>#N/A</f>
        <v>0</v>
      </c>
    </row>
    <row r="43" spans="1:20" s="6" customFormat="1" ht="18">
      <c r="A43" s="8"/>
      <c r="B43" s="130" t="s">
        <v>16</v>
      </c>
      <c r="C43" s="72">
        <v>21081100</v>
      </c>
      <c r="D43" s="150">
        <f>150+77</f>
        <v>227</v>
      </c>
      <c r="E43" s="150">
        <f>#N/A</f>
        <v>227</v>
      </c>
      <c r="F43" s="317">
        <v>241.07</v>
      </c>
      <c r="G43" s="162">
        <f>#N/A</f>
        <v>14.069999999999993</v>
      </c>
      <c r="H43" s="164">
        <f>#N/A</f>
        <v>106.19823788546255</v>
      </c>
      <c r="I43" s="165">
        <f>#N/A</f>
        <v>14.069999999999993</v>
      </c>
      <c r="J43" s="165">
        <f>#N/A</f>
        <v>106.19823788546255</v>
      </c>
      <c r="K43" s="165">
        <v>126.46</v>
      </c>
      <c r="L43" s="165">
        <f>#N/A</f>
        <v>114.61</v>
      </c>
      <c r="M43" s="218">
        <f>#N/A</f>
        <v>1.9062944804681323</v>
      </c>
      <c r="N43" s="164" t="e">
        <f>E43-#REF!</f>
        <v>#REF!</v>
      </c>
      <c r="O43" s="168" t="e">
        <f>F43-#REF!</f>
        <v>#REF!</v>
      </c>
      <c r="P43" s="167" t="e">
        <f>#N/A</f>
        <v>#REF!</v>
      </c>
      <c r="Q43" s="165" t="e">
        <f>#N/A</f>
        <v>#REF!</v>
      </c>
      <c r="R43" s="37"/>
      <c r="S43" s="94"/>
      <c r="T43" s="147">
        <f>#N/A</f>
        <v>0</v>
      </c>
    </row>
    <row r="44" spans="1:20" s="6" customFormat="1" ht="46.5">
      <c r="A44" s="8"/>
      <c r="B44" s="130" t="s">
        <v>80</v>
      </c>
      <c r="C44" s="72">
        <v>21081500</v>
      </c>
      <c r="D44" s="150">
        <f>14+71</f>
        <v>85</v>
      </c>
      <c r="E44" s="150">
        <f>#N/A</f>
        <v>85</v>
      </c>
      <c r="F44" s="317">
        <v>86.37</v>
      </c>
      <c r="G44" s="162">
        <f>#N/A</f>
        <v>1.3700000000000045</v>
      </c>
      <c r="H44" s="164"/>
      <c r="I44" s="165">
        <f>#N/A</f>
        <v>1.3700000000000045</v>
      </c>
      <c r="J44" s="165"/>
      <c r="K44" s="165">
        <v>0</v>
      </c>
      <c r="L44" s="165">
        <f>#N/A</f>
        <v>86.37</v>
      </c>
      <c r="M44" s="218"/>
      <c r="N44" s="164" t="e">
        <f>E44-#REF!</f>
        <v>#REF!</v>
      </c>
      <c r="O44" s="168" t="e">
        <f>F44-#REF!</f>
        <v>#REF!</v>
      </c>
      <c r="P44" s="167"/>
      <c r="Q44" s="165"/>
      <c r="R44" s="37"/>
      <c r="S44" s="94"/>
      <c r="T44" s="147">
        <f>#N/A</f>
        <v>0</v>
      </c>
    </row>
    <row r="45" spans="1:20" s="6" customFormat="1" ht="30.75">
      <c r="A45" s="8"/>
      <c r="B45" s="148" t="s">
        <v>105</v>
      </c>
      <c r="C45" s="49">
        <v>22010300</v>
      </c>
      <c r="D45" s="150">
        <f>300+400</f>
        <v>700</v>
      </c>
      <c r="E45" s="150">
        <f>#N/A</f>
        <v>700</v>
      </c>
      <c r="F45" s="317">
        <v>791.33</v>
      </c>
      <c r="G45" s="162">
        <f>#N/A</f>
        <v>91.33000000000004</v>
      </c>
      <c r="H45" s="164">
        <f>#N/A</f>
        <v>113.04714285714286</v>
      </c>
      <c r="I45" s="165">
        <f>#N/A</f>
        <v>91.33000000000004</v>
      </c>
      <c r="J45" s="165">
        <f>#N/A</f>
        <v>113.04714285714286</v>
      </c>
      <c r="K45" s="165">
        <v>0</v>
      </c>
      <c r="L45" s="165">
        <f>#N/A</f>
        <v>791.33</v>
      </c>
      <c r="M45" s="218"/>
      <c r="N45" s="164" t="e">
        <f>E45-#REF!</f>
        <v>#REF!</v>
      </c>
      <c r="O45" s="168" t="e">
        <f>F45-#REF!</f>
        <v>#REF!</v>
      </c>
      <c r="P45" s="167" t="e">
        <f>#N/A</f>
        <v>#REF!</v>
      </c>
      <c r="Q45" s="165" t="e">
        <f>#N/A</f>
        <v>#REF!</v>
      </c>
      <c r="R45" s="37"/>
      <c r="S45" s="94"/>
      <c r="T45" s="147">
        <f>#N/A</f>
        <v>0</v>
      </c>
    </row>
    <row r="46" spans="1:20" s="6" customFormat="1" ht="18" hidden="1">
      <c r="A46" s="8"/>
      <c r="B46" s="130"/>
      <c r="C46" s="49"/>
      <c r="D46" s="150"/>
      <c r="E46" s="150"/>
      <c r="F46" s="317"/>
      <c r="G46" s="162"/>
      <c r="H46" s="164"/>
      <c r="I46" s="165"/>
      <c r="J46" s="165"/>
      <c r="K46" s="165"/>
      <c r="L46" s="165">
        <f>#N/A</f>
        <v>0</v>
      </c>
      <c r="M46" s="218" t="e">
        <f>#N/A</f>
        <v>#DIV/0!</v>
      </c>
      <c r="N46" s="164" t="e">
        <f>E46-#REF!</f>
        <v>#REF!</v>
      </c>
      <c r="O46" s="168" t="e">
        <f>F46-#REF!</f>
        <v>#REF!</v>
      </c>
      <c r="P46" s="167"/>
      <c r="Q46" s="165"/>
      <c r="R46" s="37"/>
      <c r="S46" s="94"/>
      <c r="T46" s="147">
        <f>#N/A</f>
        <v>0</v>
      </c>
    </row>
    <row r="47" spans="1:20" s="6" customFormat="1" ht="18">
      <c r="A47" s="8"/>
      <c r="B47" s="33" t="s">
        <v>78</v>
      </c>
      <c r="C47" s="72">
        <v>22012500</v>
      </c>
      <c r="D47" s="150">
        <f>9900+1200</f>
        <v>11100</v>
      </c>
      <c r="E47" s="150">
        <f>#N/A</f>
        <v>11100</v>
      </c>
      <c r="F47" s="317">
        <v>11422.5</v>
      </c>
      <c r="G47" s="162">
        <f>#N/A</f>
        <v>322.5</v>
      </c>
      <c r="H47" s="164">
        <f>#N/A</f>
        <v>102.9054054054054</v>
      </c>
      <c r="I47" s="165">
        <f>#N/A</f>
        <v>322.5</v>
      </c>
      <c r="J47" s="165">
        <f>#N/A</f>
        <v>102.9054054054054</v>
      </c>
      <c r="K47" s="165">
        <v>9902.75</v>
      </c>
      <c r="L47" s="165">
        <f>#N/A</f>
        <v>1519.75</v>
      </c>
      <c r="M47" s="218">
        <f>#N/A</f>
        <v>1.1534674711570019</v>
      </c>
      <c r="N47" s="164" t="e">
        <f>E47-#REF!</f>
        <v>#REF!</v>
      </c>
      <c r="O47" s="168" t="e">
        <f>F47-#REF!</f>
        <v>#REF!</v>
      </c>
      <c r="P47" s="167" t="e">
        <f>#N/A</f>
        <v>#REF!</v>
      </c>
      <c r="Q47" s="165" t="e">
        <f>#N/A</f>
        <v>#REF!</v>
      </c>
      <c r="R47" s="37"/>
      <c r="S47" s="94"/>
      <c r="T47" s="147">
        <f>#N/A</f>
        <v>0</v>
      </c>
    </row>
    <row r="48" spans="1:20" s="6" customFormat="1" ht="31.5">
      <c r="A48" s="8"/>
      <c r="B48" s="149" t="s">
        <v>99</v>
      </c>
      <c r="C48" s="72">
        <v>22012600</v>
      </c>
      <c r="D48" s="150">
        <f>650-350</f>
        <v>300</v>
      </c>
      <c r="E48" s="150">
        <f>#N/A</f>
        <v>300</v>
      </c>
      <c r="F48" s="317">
        <v>323.25</v>
      </c>
      <c r="G48" s="162">
        <f>#N/A</f>
        <v>23.25</v>
      </c>
      <c r="H48" s="164">
        <f>#N/A</f>
        <v>107.74999999999999</v>
      </c>
      <c r="I48" s="165">
        <f>#N/A</f>
        <v>23.25</v>
      </c>
      <c r="J48" s="165">
        <f>#N/A</f>
        <v>107.74999999999999</v>
      </c>
      <c r="K48" s="165">
        <v>0</v>
      </c>
      <c r="L48" s="165">
        <f>#N/A</f>
        <v>323.25</v>
      </c>
      <c r="M48" s="218"/>
      <c r="N48" s="164" t="e">
        <f>E48-#REF!</f>
        <v>#REF!</v>
      </c>
      <c r="O48" s="168" t="e">
        <f>F48-#REF!</f>
        <v>#REF!</v>
      </c>
      <c r="P48" s="167" t="e">
        <f>#N/A</f>
        <v>#REF!</v>
      </c>
      <c r="Q48" s="165"/>
      <c r="R48" s="37"/>
      <c r="S48" s="94"/>
      <c r="T48" s="147">
        <f>#N/A</f>
        <v>0</v>
      </c>
    </row>
    <row r="49" spans="1:20" s="6" customFormat="1" ht="31.5">
      <c r="A49" s="8"/>
      <c r="B49" s="149" t="s">
        <v>106</v>
      </c>
      <c r="C49" s="72">
        <v>22012900</v>
      </c>
      <c r="D49" s="150">
        <f>50-31</f>
        <v>19</v>
      </c>
      <c r="E49" s="150">
        <f>#N/A</f>
        <v>19</v>
      </c>
      <c r="F49" s="317">
        <v>22.36</v>
      </c>
      <c r="G49" s="162">
        <f>#N/A</f>
        <v>3.3599999999999994</v>
      </c>
      <c r="H49" s="164">
        <f>#N/A</f>
        <v>117.6842105263158</v>
      </c>
      <c r="I49" s="165">
        <f>#N/A</f>
        <v>3.3599999999999994</v>
      </c>
      <c r="J49" s="165">
        <f>#N/A</f>
        <v>117.6842105263158</v>
      </c>
      <c r="K49" s="165">
        <v>0</v>
      </c>
      <c r="L49" s="165">
        <f>#N/A</f>
        <v>22.36</v>
      </c>
      <c r="M49" s="218"/>
      <c r="N49" s="164" t="e">
        <f>E49-#REF!</f>
        <v>#REF!</v>
      </c>
      <c r="O49" s="168" t="e">
        <f>F49-#REF!</f>
        <v>#REF!</v>
      </c>
      <c r="P49" s="167" t="e">
        <f>#N/A</f>
        <v>#REF!</v>
      </c>
      <c r="Q49" s="165" t="e">
        <f>#N/A</f>
        <v>#REF!</v>
      </c>
      <c r="R49" s="37"/>
      <c r="S49" s="94"/>
      <c r="T49" s="147">
        <f>#N/A</f>
        <v>0</v>
      </c>
    </row>
    <row r="50" spans="1:20" s="6" customFormat="1" ht="30.75">
      <c r="A50" s="8"/>
      <c r="B50" s="130" t="s">
        <v>14</v>
      </c>
      <c r="C50" s="49">
        <v>22080400</v>
      </c>
      <c r="D50" s="150">
        <f>8000-770</f>
        <v>7230</v>
      </c>
      <c r="E50" s="150">
        <f>#N/A</f>
        <v>7230</v>
      </c>
      <c r="F50" s="317">
        <v>7230.43</v>
      </c>
      <c r="G50" s="162">
        <f>#N/A</f>
        <v>0.43000000000029104</v>
      </c>
      <c r="H50" s="164">
        <f>#N/A</f>
        <v>100.00594744121716</v>
      </c>
      <c r="I50" s="165">
        <f>#N/A</f>
        <v>0.43000000000029104</v>
      </c>
      <c r="J50" s="165">
        <f>#N/A</f>
        <v>100.00594744121716</v>
      </c>
      <c r="K50" s="165">
        <v>8872.3</v>
      </c>
      <c r="L50" s="165">
        <f>#N/A</f>
        <v>-1641.869999999999</v>
      </c>
      <c r="M50" s="218">
        <f>#N/A</f>
        <v>0.81494426473406</v>
      </c>
      <c r="N50" s="164" t="e">
        <f>E50-#REF!</f>
        <v>#REF!</v>
      </c>
      <c r="O50" s="168" t="e">
        <f>F50-#REF!</f>
        <v>#REF!</v>
      </c>
      <c r="P50" s="167" t="e">
        <f>#N/A</f>
        <v>#REF!</v>
      </c>
      <c r="Q50" s="165" t="e">
        <f>#N/A</f>
        <v>#REF!</v>
      </c>
      <c r="R50" s="37"/>
      <c r="S50" s="94"/>
      <c r="T50" s="147">
        <f>#N/A</f>
        <v>0</v>
      </c>
    </row>
    <row r="51" spans="1:20" s="6" customFormat="1" ht="18">
      <c r="A51" s="8"/>
      <c r="B51" s="130" t="s">
        <v>15</v>
      </c>
      <c r="C51" s="43">
        <v>22090000</v>
      </c>
      <c r="D51" s="150">
        <f>7000.04-175-1675</f>
        <v>5150.04</v>
      </c>
      <c r="E51" s="150">
        <f>#N/A</f>
        <v>5150.04</v>
      </c>
      <c r="F51" s="317">
        <v>5161.34</v>
      </c>
      <c r="G51" s="162">
        <f>#N/A</f>
        <v>11.300000000000182</v>
      </c>
      <c r="H51" s="164">
        <f>#N/A</f>
        <v>100.21941577152799</v>
      </c>
      <c r="I51" s="165">
        <f>#N/A</f>
        <v>11.300000000000182</v>
      </c>
      <c r="J51" s="165">
        <f>#N/A</f>
        <v>100.21941577152799</v>
      </c>
      <c r="K51" s="165">
        <v>7235.66</v>
      </c>
      <c r="L51" s="165">
        <f>#N/A</f>
        <v>-2074.3199999999997</v>
      </c>
      <c r="M51" s="218">
        <f>#N/A</f>
        <v>0.7133198630118055</v>
      </c>
      <c r="N51" s="164" t="e">
        <f>E51-#REF!</f>
        <v>#REF!</v>
      </c>
      <c r="O51" s="168" t="e">
        <f>F51-#REF!</f>
        <v>#REF!</v>
      </c>
      <c r="P51" s="167" t="e">
        <f>#N/A</f>
        <v>#REF!</v>
      </c>
      <c r="Q51" s="165" t="e">
        <f>#N/A</f>
        <v>#REF!</v>
      </c>
      <c r="R51" s="37"/>
      <c r="S51" s="94"/>
      <c r="T51" s="147">
        <f>#N/A</f>
        <v>0</v>
      </c>
    </row>
    <row r="52" spans="1:20" s="6" customFormat="1" ht="18">
      <c r="A52" s="8"/>
      <c r="B52" s="50" t="s">
        <v>97</v>
      </c>
      <c r="C52" s="123">
        <v>22090100</v>
      </c>
      <c r="D52" s="103">
        <f>970-175</f>
        <v>795</v>
      </c>
      <c r="E52" s="103">
        <f>#N/A</f>
        <v>795</v>
      </c>
      <c r="F52" s="318">
        <v>835.21</v>
      </c>
      <c r="G52" s="34">
        <f>#N/A</f>
        <v>40.210000000000036</v>
      </c>
      <c r="H52" s="30">
        <f>#N/A</f>
        <v>105.05786163522014</v>
      </c>
      <c r="I52" s="104">
        <f>#N/A</f>
        <v>40.210000000000036</v>
      </c>
      <c r="J52" s="104">
        <f>#N/A</f>
        <v>105.05786163522014</v>
      </c>
      <c r="K52" s="104">
        <v>1089.08</v>
      </c>
      <c r="L52" s="104">
        <f>F52-K52</f>
        <v>-253.8699999999999</v>
      </c>
      <c r="M52" s="109">
        <f>#N/A</f>
        <v>0.7668949939398392</v>
      </c>
      <c r="N52" s="164" t="e">
        <f>E52-#REF!</f>
        <v>#REF!</v>
      </c>
      <c r="O52" s="168" t="e">
        <f>F52-#REF!</f>
        <v>#REF!</v>
      </c>
      <c r="P52" s="106" t="e">
        <f>#N/A</f>
        <v>#REF!</v>
      </c>
      <c r="Q52" s="119" t="e">
        <f>#N/A</f>
        <v>#REF!</v>
      </c>
      <c r="R52" s="37"/>
      <c r="S52" s="94"/>
      <c r="T52" s="147">
        <f>#N/A</f>
        <v>0</v>
      </c>
    </row>
    <row r="53" spans="1:20" s="6" customFormat="1" ht="18">
      <c r="A53" s="8"/>
      <c r="B53" s="50" t="s">
        <v>94</v>
      </c>
      <c r="C53" s="123">
        <v>22090200</v>
      </c>
      <c r="D53" s="103">
        <v>5.04</v>
      </c>
      <c r="E53" s="103">
        <f>#N/A</f>
        <v>5.04</v>
      </c>
      <c r="F53" s="318">
        <v>0.38</v>
      </c>
      <c r="G53" s="34">
        <f>#N/A</f>
        <v>-4.66</v>
      </c>
      <c r="H53" s="30">
        <f>#N/A</f>
        <v>7.5396825396825395</v>
      </c>
      <c r="I53" s="104">
        <f>#N/A</f>
        <v>-4.66</v>
      </c>
      <c r="J53" s="104">
        <f>#N/A</f>
        <v>7.5396825396825395</v>
      </c>
      <c r="K53" s="104">
        <v>44.23</v>
      </c>
      <c r="L53" s="104">
        <f>F53-K53</f>
        <v>-43.849999999999994</v>
      </c>
      <c r="M53" s="109">
        <f>#N/A</f>
        <v>0.008591453764413295</v>
      </c>
      <c r="N53" s="164" t="e">
        <f>E53-#REF!</f>
        <v>#REF!</v>
      </c>
      <c r="O53" s="168" t="e">
        <f>F53-#REF!</f>
        <v>#REF!</v>
      </c>
      <c r="P53" s="106" t="e">
        <f>#N/A</f>
        <v>#REF!</v>
      </c>
      <c r="Q53" s="119" t="e">
        <f>#N/A</f>
        <v>#REF!</v>
      </c>
      <c r="R53" s="37"/>
      <c r="S53" s="94"/>
      <c r="T53" s="147">
        <f>#N/A</f>
        <v>0</v>
      </c>
    </row>
    <row r="54" spans="1:20" s="6" customFormat="1" ht="18">
      <c r="A54" s="8"/>
      <c r="B54" s="50" t="s">
        <v>95</v>
      </c>
      <c r="C54" s="123">
        <v>22090300</v>
      </c>
      <c r="D54" s="103">
        <v>1</v>
      </c>
      <c r="E54" s="103">
        <f>#N/A</f>
        <v>1</v>
      </c>
      <c r="F54" s="318">
        <v>0.02</v>
      </c>
      <c r="G54" s="34">
        <f>#N/A</f>
        <v>-0.98</v>
      </c>
      <c r="H54" s="30"/>
      <c r="I54" s="104">
        <f>#N/A</f>
        <v>-0.98</v>
      </c>
      <c r="J54" s="104">
        <f>#N/A</f>
        <v>2</v>
      </c>
      <c r="K54" s="104">
        <v>0.75</v>
      </c>
      <c r="L54" s="104">
        <f>F54-K54</f>
        <v>-0.73</v>
      </c>
      <c r="M54" s="109">
        <f>#N/A</f>
        <v>0.02666666666666667</v>
      </c>
      <c r="N54" s="164" t="e">
        <f>E54-#REF!</f>
        <v>#REF!</v>
      </c>
      <c r="O54" s="168" t="e">
        <f>F54-#REF!</f>
        <v>#REF!</v>
      </c>
      <c r="P54" s="106" t="e">
        <f>#N/A</f>
        <v>#REF!</v>
      </c>
      <c r="Q54" s="119"/>
      <c r="R54" s="37"/>
      <c r="S54" s="94"/>
      <c r="T54" s="147">
        <f>#N/A</f>
        <v>0</v>
      </c>
    </row>
    <row r="55" spans="1:20" s="6" customFormat="1" ht="18">
      <c r="A55" s="8"/>
      <c r="B55" s="50" t="s">
        <v>96</v>
      </c>
      <c r="C55" s="123">
        <v>22090400</v>
      </c>
      <c r="D55" s="103">
        <f>6024-1675</f>
        <v>4349</v>
      </c>
      <c r="E55" s="103">
        <f>#N/A</f>
        <v>4349</v>
      </c>
      <c r="F55" s="318">
        <v>4325.74</v>
      </c>
      <c r="G55" s="34">
        <f>#N/A</f>
        <v>-23.26000000000022</v>
      </c>
      <c r="H55" s="30">
        <f>#N/A</f>
        <v>99.46516440561048</v>
      </c>
      <c r="I55" s="104">
        <f>#N/A</f>
        <v>-23.26000000000022</v>
      </c>
      <c r="J55" s="104">
        <f>#N/A</f>
        <v>99.46516440561048</v>
      </c>
      <c r="K55" s="104">
        <v>6101.6</v>
      </c>
      <c r="L55" s="104">
        <f>F55-K55</f>
        <v>-1775.8600000000006</v>
      </c>
      <c r="M55" s="109">
        <f>#N/A</f>
        <v>0.7089517503605611</v>
      </c>
      <c r="N55" s="164" t="e">
        <f>E55-#REF!</f>
        <v>#REF!</v>
      </c>
      <c r="O55" s="168" t="e">
        <f>F55-#REF!</f>
        <v>#REF!</v>
      </c>
      <c r="P55" s="106" t="e">
        <f>#N/A</f>
        <v>#REF!</v>
      </c>
      <c r="Q55" s="119" t="e">
        <f>#N/A</f>
        <v>#REF!</v>
      </c>
      <c r="R55" s="37"/>
      <c r="S55" s="94"/>
      <c r="T55" s="147">
        <f>#N/A</f>
        <v>0</v>
      </c>
    </row>
    <row r="56" spans="1:20" s="6" customFormat="1" ht="46.5">
      <c r="A56" s="8"/>
      <c r="B56" s="13" t="s">
        <v>17</v>
      </c>
      <c r="C56" s="11" t="s">
        <v>18</v>
      </c>
      <c r="D56" s="150">
        <f>10-8</f>
        <v>2</v>
      </c>
      <c r="E56" s="150">
        <f>#N/A</f>
        <v>2</v>
      </c>
      <c r="F56" s="317">
        <v>2.46</v>
      </c>
      <c r="G56" s="162">
        <f>#N/A</f>
        <v>0.45999999999999996</v>
      </c>
      <c r="H56" s="164">
        <f>#N/A</f>
        <v>123</v>
      </c>
      <c r="I56" s="165">
        <f>#N/A</f>
        <v>0.45999999999999996</v>
      </c>
      <c r="J56" s="165">
        <f>#N/A</f>
        <v>123</v>
      </c>
      <c r="K56" s="165">
        <v>10.65</v>
      </c>
      <c r="L56" s="165">
        <f>F56-K56</f>
        <v>-8.190000000000001</v>
      </c>
      <c r="M56" s="218">
        <f>#N/A</f>
        <v>0.23098591549295774</v>
      </c>
      <c r="N56" s="164" t="e">
        <f>E56-#REF!</f>
        <v>#REF!</v>
      </c>
      <c r="O56" s="168" t="e">
        <f>F56-#REF!</f>
        <v>#REF!</v>
      </c>
      <c r="P56" s="167" t="e">
        <f>#N/A</f>
        <v>#REF!</v>
      </c>
      <c r="Q56" s="165"/>
      <c r="R56" s="37"/>
      <c r="S56" s="94"/>
      <c r="T56" s="147">
        <f>#N/A</f>
        <v>0</v>
      </c>
    </row>
    <row r="57" spans="1:20" s="6" customFormat="1" ht="15.75" customHeight="1">
      <c r="A57" s="8"/>
      <c r="B57" s="131" t="s">
        <v>13</v>
      </c>
      <c r="C57" s="11" t="s">
        <v>19</v>
      </c>
      <c r="D57" s="150">
        <f>5150+1050</f>
        <v>6200</v>
      </c>
      <c r="E57" s="150">
        <f>#N/A</f>
        <v>6200</v>
      </c>
      <c r="F57" s="317">
        <v>6525.16</v>
      </c>
      <c r="G57" s="162">
        <f>#N/A</f>
        <v>325.15999999999985</v>
      </c>
      <c r="H57" s="164">
        <f>#N/A</f>
        <v>105.24451612903225</v>
      </c>
      <c r="I57" s="165">
        <f>#N/A</f>
        <v>325.15999999999985</v>
      </c>
      <c r="J57" s="165">
        <f>#N/A</f>
        <v>105.24451612903225</v>
      </c>
      <c r="K57" s="165">
        <v>4790.19</v>
      </c>
      <c r="L57" s="165">
        <f>#N/A</f>
        <v>1734.9700000000003</v>
      </c>
      <c r="M57" s="218">
        <f>#N/A</f>
        <v>1.362192313874815</v>
      </c>
      <c r="N57" s="164" t="e">
        <f>E57-#REF!</f>
        <v>#REF!</v>
      </c>
      <c r="O57" s="168" t="e">
        <f>F57-#REF!</f>
        <v>#REF!</v>
      </c>
      <c r="P57" s="167" t="e">
        <f>#N/A</f>
        <v>#REF!</v>
      </c>
      <c r="Q57" s="165" t="e">
        <f>#N/A</f>
        <v>#REF!</v>
      </c>
      <c r="R57" s="37"/>
      <c r="S57" s="94"/>
      <c r="T57" s="147">
        <f>#N/A</f>
        <v>0</v>
      </c>
    </row>
    <row r="58" spans="1:20" s="6" customFormat="1" ht="18" hidden="1">
      <c r="A58" s="8"/>
      <c r="B58" s="12" t="s">
        <v>22</v>
      </c>
      <c r="C58" s="61" t="s">
        <v>23</v>
      </c>
      <c r="D58" s="31">
        <v>0</v>
      </c>
      <c r="E58" s="31">
        <v>0</v>
      </c>
      <c r="F58" s="325">
        <v>0</v>
      </c>
      <c r="G58" s="162">
        <f>#N/A</f>
        <v>0</v>
      </c>
      <c r="H58" s="164" t="e">
        <f>#N/A</f>
        <v>#DIV/0!</v>
      </c>
      <c r="I58" s="165">
        <f>#N/A</f>
        <v>0</v>
      </c>
      <c r="J58" s="165" t="e">
        <f>#N/A</f>
        <v>#DIV/0!</v>
      </c>
      <c r="K58" s="165"/>
      <c r="L58" s="165">
        <f>#N/A</f>
        <v>0</v>
      </c>
      <c r="M58" s="218" t="e">
        <f>#N/A</f>
        <v>#DIV/0!</v>
      </c>
      <c r="N58" s="164" t="e">
        <f>E58-#REF!</f>
        <v>#REF!</v>
      </c>
      <c r="O58" s="168" t="e">
        <f>F58-#REF!</f>
        <v>#REF!</v>
      </c>
      <c r="P58" s="167" t="e">
        <f>#N/A</f>
        <v>#REF!</v>
      </c>
      <c r="Q58" s="165" t="e">
        <f>#N/A</f>
        <v>#REF!</v>
      </c>
      <c r="R58" s="37"/>
      <c r="S58" s="94"/>
      <c r="T58" s="147">
        <f>#N/A</f>
        <v>0</v>
      </c>
    </row>
    <row r="59" spans="1:20" s="6" customFormat="1" ht="30.75">
      <c r="A59" s="8"/>
      <c r="B59" s="50" t="s">
        <v>42</v>
      </c>
      <c r="C59" s="61"/>
      <c r="D59" s="103"/>
      <c r="E59" s="103"/>
      <c r="F59" s="326">
        <v>1411.18</v>
      </c>
      <c r="G59" s="162"/>
      <c r="H59" s="164"/>
      <c r="I59" s="165"/>
      <c r="J59" s="165"/>
      <c r="K59" s="166">
        <v>1224.23</v>
      </c>
      <c r="L59" s="165">
        <f>#N/A</f>
        <v>186.95000000000005</v>
      </c>
      <c r="M59" s="218">
        <f>#N/A</f>
        <v>1.1527082329300866</v>
      </c>
      <c r="N59" s="164"/>
      <c r="O59" s="179" t="e">
        <f>F59-#REF!</f>
        <v>#REF!</v>
      </c>
      <c r="P59" s="166"/>
      <c r="Q59" s="165"/>
      <c r="R59" s="37"/>
      <c r="S59" s="94"/>
      <c r="T59" s="147">
        <f>#N/A</f>
        <v>0</v>
      </c>
    </row>
    <row r="60" spans="1:20" s="6" customFormat="1" ht="18" hidden="1">
      <c r="A60" s="8"/>
      <c r="B60" s="131" t="s">
        <v>20</v>
      </c>
      <c r="C60" s="128" t="s">
        <v>21</v>
      </c>
      <c r="D60" s="34">
        <v>0</v>
      </c>
      <c r="E60" s="34">
        <f>D60</f>
        <v>0</v>
      </c>
      <c r="F60" s="327">
        <v>0</v>
      </c>
      <c r="G60" s="162">
        <f>#N/A</f>
        <v>0</v>
      </c>
      <c r="H60" s="164"/>
      <c r="I60" s="165">
        <f>#N/A</f>
        <v>0</v>
      </c>
      <c r="J60" s="165"/>
      <c r="K60" s="166"/>
      <c r="L60" s="165">
        <f>#N/A</f>
        <v>0</v>
      </c>
      <c r="M60" s="218" t="e">
        <f>#N/A</f>
        <v>#DIV/0!</v>
      </c>
      <c r="N60" s="164" t="e">
        <f>E60-#REF!</f>
        <v>#REF!</v>
      </c>
      <c r="O60" s="168" t="e">
        <f>F60-#REF!</f>
        <v>#REF!</v>
      </c>
      <c r="P60" s="167" t="e">
        <f>#N/A</f>
        <v>#REF!</v>
      </c>
      <c r="Q60" s="165"/>
      <c r="R60" s="37"/>
      <c r="S60" s="94"/>
      <c r="T60" s="147">
        <f>#N/A</f>
        <v>0</v>
      </c>
    </row>
    <row r="61" spans="1:20" s="6" customFormat="1" ht="44.25" customHeight="1">
      <c r="A61" s="8"/>
      <c r="B61" s="131" t="s">
        <v>43</v>
      </c>
      <c r="C61" s="43">
        <v>24061900</v>
      </c>
      <c r="D61" s="150">
        <f>100+58</f>
        <v>158</v>
      </c>
      <c r="E61" s="150">
        <f>D61</f>
        <v>158</v>
      </c>
      <c r="F61" s="317">
        <v>226.72</v>
      </c>
      <c r="G61" s="162">
        <f>#N/A</f>
        <v>68.72</v>
      </c>
      <c r="H61" s="164">
        <f>#N/A</f>
        <v>143.49367088607593</v>
      </c>
      <c r="I61" s="165">
        <f>#N/A</f>
        <v>68.72</v>
      </c>
      <c r="J61" s="165">
        <f>#N/A</f>
        <v>143.49367088607593</v>
      </c>
      <c r="K61" s="165">
        <v>20.05</v>
      </c>
      <c r="L61" s="165">
        <f>#N/A</f>
        <v>206.67</v>
      </c>
      <c r="M61" s="218">
        <f>#N/A</f>
        <v>11.307730673316708</v>
      </c>
      <c r="N61" s="164" t="e">
        <f>E61-#REF!</f>
        <v>#REF!</v>
      </c>
      <c r="O61" s="168" t="e">
        <f>F61-#REF!</f>
        <v>#REF!</v>
      </c>
      <c r="P61" s="167" t="e">
        <f>#N/A</f>
        <v>#REF!</v>
      </c>
      <c r="Q61" s="165"/>
      <c r="R61" s="37"/>
      <c r="S61" s="94"/>
      <c r="T61" s="147">
        <f>#N/A</f>
        <v>0</v>
      </c>
    </row>
    <row r="62" spans="1:20" s="6" customFormat="1" ht="18">
      <c r="A62" s="8"/>
      <c r="B62" s="12" t="s">
        <v>44</v>
      </c>
      <c r="C62" s="43">
        <v>31010200</v>
      </c>
      <c r="D62" s="150">
        <f>30-17</f>
        <v>13</v>
      </c>
      <c r="E62" s="150">
        <f>D62</f>
        <v>13</v>
      </c>
      <c r="F62" s="317">
        <v>13.52</v>
      </c>
      <c r="G62" s="162">
        <f>#N/A</f>
        <v>0.5199999999999996</v>
      </c>
      <c r="H62" s="164">
        <f>#N/A</f>
        <v>104</v>
      </c>
      <c r="I62" s="165">
        <f>#N/A</f>
        <v>0.5199999999999996</v>
      </c>
      <c r="J62" s="165">
        <f>#N/A</f>
        <v>104</v>
      </c>
      <c r="K62" s="165">
        <v>26.28</v>
      </c>
      <c r="L62" s="165">
        <f>#N/A</f>
        <v>-12.760000000000002</v>
      </c>
      <c r="M62" s="218">
        <f>#N/A</f>
        <v>0.5144596651445966</v>
      </c>
      <c r="N62" s="164" t="e">
        <f>E62-#REF!</f>
        <v>#REF!</v>
      </c>
      <c r="O62" s="168" t="e">
        <f>F62-#REF!</f>
        <v>#REF!</v>
      </c>
      <c r="P62" s="167" t="e">
        <f>#N/A</f>
        <v>#REF!</v>
      </c>
      <c r="Q62" s="165" t="e">
        <f>#N/A</f>
        <v>#REF!</v>
      </c>
      <c r="R62" s="37"/>
      <c r="S62" s="94"/>
      <c r="T62" s="147">
        <f>#N/A</f>
        <v>0</v>
      </c>
    </row>
    <row r="63" spans="1:20" s="6" customFormat="1" ht="30.75">
      <c r="A63" s="8"/>
      <c r="B63" s="12" t="s">
        <v>57</v>
      </c>
      <c r="C63" s="43">
        <v>31020000</v>
      </c>
      <c r="D63" s="150">
        <v>0.8</v>
      </c>
      <c r="E63" s="150">
        <f>D63</f>
        <v>0.8</v>
      </c>
      <c r="F63" s="317">
        <v>7.37</v>
      </c>
      <c r="G63" s="162">
        <f>#N/A</f>
        <v>6.57</v>
      </c>
      <c r="H63" s="164"/>
      <c r="I63" s="165">
        <f>#N/A</f>
        <v>6.57</v>
      </c>
      <c r="J63" s="165"/>
      <c r="K63" s="165">
        <v>0.58</v>
      </c>
      <c r="L63" s="165">
        <f>#N/A</f>
        <v>6.79</v>
      </c>
      <c r="M63" s="218">
        <f>#N/A</f>
        <v>12.706896551724139</v>
      </c>
      <c r="N63" s="164" t="e">
        <f>E63-#REF!</f>
        <v>#REF!</v>
      </c>
      <c r="O63" s="168" t="e">
        <f>F63-#REF!</f>
        <v>#REF!</v>
      </c>
      <c r="P63" s="167" t="e">
        <f>#N/A</f>
        <v>#REF!</v>
      </c>
      <c r="Q63" s="165"/>
      <c r="R63" s="37"/>
      <c r="S63" s="94"/>
      <c r="T63" s="147">
        <f>#N/A</f>
        <v>0</v>
      </c>
    </row>
    <row r="64" spans="1:23" s="6" customFormat="1" ht="18">
      <c r="A64" s="9"/>
      <c r="B64" s="14" t="s">
        <v>28</v>
      </c>
      <c r="C64" s="62"/>
      <c r="D64" s="151">
        <f>D8+D38+D62+D63</f>
        <v>1042725.7300000001</v>
      </c>
      <c r="E64" s="151">
        <f>E8+E38+E62+E63</f>
        <v>1042725.7300000001</v>
      </c>
      <c r="F64" s="287">
        <f>F8+F38+F62+F63</f>
        <v>1053569.5100000002</v>
      </c>
      <c r="G64" s="151">
        <f>F64-E64</f>
        <v>10843.780000000144</v>
      </c>
      <c r="H64" s="152">
        <f>F64/E64*100</f>
        <v>101.0399455665106</v>
      </c>
      <c r="I64" s="153">
        <f>F64-D64</f>
        <v>10843.780000000144</v>
      </c>
      <c r="J64" s="153">
        <f>F64/D64*100</f>
        <v>101.0399455665106</v>
      </c>
      <c r="K64" s="153">
        <v>723400.62</v>
      </c>
      <c r="L64" s="153">
        <f>F64-K64</f>
        <v>330168.89000000025</v>
      </c>
      <c r="M64" s="219">
        <f>F64/K64</f>
        <v>1.4564122297821644</v>
      </c>
      <c r="N64" s="151" t="e">
        <f>N8+N38+N62+N63</f>
        <v>#REF!</v>
      </c>
      <c r="O64" s="151" t="e">
        <f>O8+O38+O62+O63</f>
        <v>#REF!</v>
      </c>
      <c r="P64" s="155" t="e">
        <f>O64-N64</f>
        <v>#REF!</v>
      </c>
      <c r="Q64" s="153" t="e">
        <f>O64/N64*100</f>
        <v>#REF!</v>
      </c>
      <c r="R64" s="27" t="e">
        <f>O64-34768</f>
        <v>#REF!</v>
      </c>
      <c r="S64" s="115" t="e">
        <f>O64/34768</f>
        <v>#REF!</v>
      </c>
      <c r="T64" s="147">
        <f>#N/A</f>
        <v>0</v>
      </c>
      <c r="U64" s="132"/>
      <c r="W64" s="147"/>
    </row>
    <row r="65" spans="1:20" s="48" customFormat="1" ht="17.25" hidden="1">
      <c r="A65" s="45"/>
      <c r="B65" s="55"/>
      <c r="C65" s="63"/>
      <c r="D65" s="46"/>
      <c r="E65" s="46"/>
      <c r="F65" s="328"/>
      <c r="G65" s="77"/>
      <c r="H65" s="47"/>
      <c r="I65" s="54"/>
      <c r="J65" s="35"/>
      <c r="K65" s="35"/>
      <c r="L65" s="35"/>
      <c r="M65" s="35"/>
      <c r="N65" s="47"/>
      <c r="O65" s="46"/>
      <c r="P65" s="79"/>
      <c r="Q65" s="35"/>
      <c r="R65" s="35"/>
      <c r="S65" s="96"/>
      <c r="T65" s="147">
        <f>#N/A</f>
        <v>0</v>
      </c>
    </row>
    <row r="66" spans="1:20" s="48" customFormat="1" ht="17.25" hidden="1">
      <c r="A66" s="45"/>
      <c r="B66" s="56"/>
      <c r="C66" s="63"/>
      <c r="D66" s="57"/>
      <c r="E66" s="46"/>
      <c r="F66" s="328"/>
      <c r="G66" s="40"/>
      <c r="H66" s="47"/>
      <c r="I66" s="58"/>
      <c r="J66" s="35"/>
      <c r="K66" s="35"/>
      <c r="L66" s="35"/>
      <c r="M66" s="35"/>
      <c r="N66" s="30"/>
      <c r="O66" s="46"/>
      <c r="P66" s="59"/>
      <c r="Q66" s="35"/>
      <c r="R66" s="35"/>
      <c r="S66" s="96"/>
      <c r="T66" s="147">
        <f>#N/A</f>
        <v>0</v>
      </c>
    </row>
    <row r="67" spans="1:20" s="48" customFormat="1" ht="17.25" hidden="1">
      <c r="A67" s="45"/>
      <c r="B67" s="56"/>
      <c r="C67" s="63"/>
      <c r="D67" s="57"/>
      <c r="E67" s="34"/>
      <c r="F67" s="329"/>
      <c r="G67" s="40"/>
      <c r="H67" s="47"/>
      <c r="I67" s="58"/>
      <c r="J67" s="35"/>
      <c r="K67" s="35"/>
      <c r="L67" s="35"/>
      <c r="M67" s="35"/>
      <c r="N67" s="30"/>
      <c r="O67" s="57"/>
      <c r="P67" s="79"/>
      <c r="Q67" s="35"/>
      <c r="R67" s="35"/>
      <c r="S67" s="96"/>
      <c r="T67" s="147">
        <f>#N/A</f>
        <v>0</v>
      </c>
    </row>
    <row r="68" spans="2:20" ht="15">
      <c r="B68" s="22" t="s">
        <v>108</v>
      </c>
      <c r="C68" s="64"/>
      <c r="D68" s="24"/>
      <c r="E68" s="24"/>
      <c r="F68" s="330"/>
      <c r="G68" s="34"/>
      <c r="H68" s="30"/>
      <c r="I68" s="38"/>
      <c r="J68" s="38"/>
      <c r="K68" s="38"/>
      <c r="L68" s="38"/>
      <c r="M68" s="38"/>
      <c r="N68" s="31"/>
      <c r="O68" s="146"/>
      <c r="P68" s="36"/>
      <c r="Q68" s="38"/>
      <c r="R68" s="38"/>
      <c r="S68" s="97"/>
      <c r="T68" s="147">
        <f>#N/A</f>
        <v>0</v>
      </c>
    </row>
    <row r="69" spans="2:20" ht="25.5" customHeight="1">
      <c r="B69" s="134" t="s">
        <v>100</v>
      </c>
      <c r="C69" s="135">
        <v>12020000</v>
      </c>
      <c r="D69" s="180">
        <v>0</v>
      </c>
      <c r="E69" s="180">
        <f>D69</f>
        <v>0</v>
      </c>
      <c r="F69" s="331">
        <v>0.01</v>
      </c>
      <c r="G69" s="162"/>
      <c r="H69" s="164"/>
      <c r="I69" s="167"/>
      <c r="J69" s="167"/>
      <c r="K69" s="167">
        <v>0.01</v>
      </c>
      <c r="L69" s="167">
        <f>F69-K69</f>
        <v>0</v>
      </c>
      <c r="M69" s="209">
        <f>F69/K69</f>
        <v>1</v>
      </c>
      <c r="N69" s="162"/>
      <c r="O69" s="182" t="e">
        <f>F69-#REF!</f>
        <v>#REF!</v>
      </c>
      <c r="P69" s="167"/>
      <c r="Q69" s="167"/>
      <c r="R69" s="38"/>
      <c r="S69" s="97"/>
      <c r="T69" s="147">
        <f>#N/A</f>
        <v>0</v>
      </c>
    </row>
    <row r="70" spans="2:20" ht="31.5">
      <c r="B70" s="23" t="s">
        <v>62</v>
      </c>
      <c r="C70" s="73">
        <v>18041500</v>
      </c>
      <c r="D70" s="180">
        <v>0</v>
      </c>
      <c r="E70" s="180">
        <f>D70</f>
        <v>0</v>
      </c>
      <c r="F70" s="331">
        <v>-10.19</v>
      </c>
      <c r="G70" s="162">
        <f>F70-E70</f>
        <v>-10.19</v>
      </c>
      <c r="H70" s="164"/>
      <c r="I70" s="167">
        <f>F70-D70</f>
        <v>-10.19</v>
      </c>
      <c r="J70" s="167"/>
      <c r="K70" s="167">
        <v>-56.2</v>
      </c>
      <c r="L70" s="167">
        <f>F70-K70</f>
        <v>46.010000000000005</v>
      </c>
      <c r="M70" s="209">
        <f>F70/K70</f>
        <v>0.18131672597864767</v>
      </c>
      <c r="N70" s="164"/>
      <c r="O70" s="182" t="e">
        <f>F70-#REF!</f>
        <v>#REF!</v>
      </c>
      <c r="P70" s="167" t="e">
        <f>O70-N70</f>
        <v>#REF!</v>
      </c>
      <c r="Q70" s="167"/>
      <c r="R70" s="38"/>
      <c r="S70" s="97"/>
      <c r="T70" s="147">
        <f>#N/A</f>
        <v>0</v>
      </c>
    </row>
    <row r="71" spans="2:20" ht="17.25">
      <c r="B71" s="28" t="s">
        <v>45</v>
      </c>
      <c r="C71" s="74"/>
      <c r="D71" s="183">
        <f>D70</f>
        <v>0</v>
      </c>
      <c r="E71" s="183">
        <f>E70</f>
        <v>0</v>
      </c>
      <c r="F71" s="332">
        <f>SUM(F69:F70)</f>
        <v>-10.18</v>
      </c>
      <c r="G71" s="185">
        <f>F71-E71</f>
        <v>-10.18</v>
      </c>
      <c r="H71" s="186"/>
      <c r="I71" s="187">
        <f>F71-D71</f>
        <v>-10.18</v>
      </c>
      <c r="J71" s="187"/>
      <c r="K71" s="187">
        <v>-56.2</v>
      </c>
      <c r="L71" s="187">
        <f>F71-K71</f>
        <v>46.02</v>
      </c>
      <c r="M71" s="214">
        <f>F71/K71</f>
        <v>0.18113879003558717</v>
      </c>
      <c r="N71" s="185">
        <f>N70</f>
        <v>0</v>
      </c>
      <c r="O71" s="188" t="e">
        <f>SUM(O69:O70)</f>
        <v>#REF!</v>
      </c>
      <c r="P71" s="187" t="e">
        <f>O71-N71</f>
        <v>#REF!</v>
      </c>
      <c r="Q71" s="187"/>
      <c r="R71" s="39"/>
      <c r="S71" s="98"/>
      <c r="T71" s="147">
        <f>#N/A</f>
        <v>0</v>
      </c>
    </row>
    <row r="72" spans="2:20" ht="46.5" hidden="1">
      <c r="B72" s="23" t="s">
        <v>37</v>
      </c>
      <c r="C72" s="74">
        <v>21110000</v>
      </c>
      <c r="D72" s="180">
        <v>0</v>
      </c>
      <c r="E72" s="180"/>
      <c r="F72" s="331">
        <v>0</v>
      </c>
      <c r="G72" s="162" t="e">
        <f>#N/A</f>
        <v>#N/A</v>
      </c>
      <c r="H72" s="164" t="e">
        <f>F72/E72*100</f>
        <v>#DIV/0!</v>
      </c>
      <c r="I72" s="167" t="e">
        <f>#N/A</f>
        <v>#N/A</v>
      </c>
      <c r="J72" s="167" t="e">
        <f>#N/A</f>
        <v>#N/A</v>
      </c>
      <c r="K72" s="167"/>
      <c r="L72" s="167"/>
      <c r="M72" s="167"/>
      <c r="N72" s="162">
        <v>0</v>
      </c>
      <c r="O72" s="182">
        <f>F72</f>
        <v>0</v>
      </c>
      <c r="P72" s="167" t="e">
        <f>#N/A</f>
        <v>#N/A</v>
      </c>
      <c r="Q72" s="167"/>
      <c r="R72" s="38"/>
      <c r="S72" s="97"/>
      <c r="T72" s="147">
        <f>#N/A</f>
        <v>0</v>
      </c>
    </row>
    <row r="73" spans="2:20" ht="31.5">
      <c r="B73" s="23" t="s">
        <v>29</v>
      </c>
      <c r="C73" s="73">
        <v>31030000</v>
      </c>
      <c r="D73" s="180">
        <f>4200+11000-12200</f>
        <v>3000</v>
      </c>
      <c r="E73" s="180">
        <f>D73</f>
        <v>3000</v>
      </c>
      <c r="F73" s="331">
        <v>4618.99</v>
      </c>
      <c r="G73" s="162">
        <f>#N/A</f>
        <v>1618.9899999999998</v>
      </c>
      <c r="H73" s="164"/>
      <c r="I73" s="167">
        <f>#N/A</f>
        <v>1618.9899999999998</v>
      </c>
      <c r="J73" s="167">
        <f>F73/D73*100</f>
        <v>153.96633333333332</v>
      </c>
      <c r="K73" s="167">
        <v>619.07</v>
      </c>
      <c r="L73" s="167">
        <f>#N/A</f>
        <v>3999.9199999999996</v>
      </c>
      <c r="M73" s="209">
        <f>F73/K73</f>
        <v>7.46117563441937</v>
      </c>
      <c r="N73" s="164" t="e">
        <f>E73-#REF!</f>
        <v>#REF!</v>
      </c>
      <c r="O73" s="168" t="e">
        <f>F73-#REF!</f>
        <v>#REF!</v>
      </c>
      <c r="P73" s="167" t="e">
        <f>#N/A</f>
        <v>#REF!</v>
      </c>
      <c r="Q73" s="167" t="e">
        <f>O73/N73*100</f>
        <v>#REF!</v>
      </c>
      <c r="R73" s="38"/>
      <c r="S73" s="97"/>
      <c r="T73" s="147">
        <f>#N/A</f>
        <v>0</v>
      </c>
    </row>
    <row r="74" spans="2:20" ht="18">
      <c r="B74" s="23" t="s">
        <v>30</v>
      </c>
      <c r="C74" s="73">
        <v>33010000</v>
      </c>
      <c r="D74" s="180">
        <f>7459+9700-6864</f>
        <v>10295</v>
      </c>
      <c r="E74" s="180">
        <f>D74</f>
        <v>10295</v>
      </c>
      <c r="F74" s="331">
        <v>10435.77</v>
      </c>
      <c r="G74" s="162">
        <f>#N/A</f>
        <v>140.77000000000044</v>
      </c>
      <c r="H74" s="164">
        <f>F74/E74*100</f>
        <v>101.36736279747451</v>
      </c>
      <c r="I74" s="167">
        <f>#N/A</f>
        <v>140.77000000000044</v>
      </c>
      <c r="J74" s="167">
        <f>F74/D74*100</f>
        <v>101.36736279747451</v>
      </c>
      <c r="K74" s="167">
        <v>8374.15</v>
      </c>
      <c r="L74" s="167">
        <f>#N/A</f>
        <v>2061.620000000001</v>
      </c>
      <c r="M74" s="209">
        <f>F74/K74</f>
        <v>1.246188568392016</v>
      </c>
      <c r="N74" s="164" t="e">
        <f>E74-#REF!</f>
        <v>#REF!</v>
      </c>
      <c r="O74" s="168" t="e">
        <f>F74-#REF!</f>
        <v>#REF!</v>
      </c>
      <c r="P74" s="167" t="e">
        <f>#N/A</f>
        <v>#REF!</v>
      </c>
      <c r="Q74" s="167" t="e">
        <f>O74/N74*100</f>
        <v>#REF!</v>
      </c>
      <c r="R74" s="38"/>
      <c r="S74" s="97"/>
      <c r="T74" s="147">
        <f>#N/A</f>
        <v>0</v>
      </c>
    </row>
    <row r="75" spans="2:20" ht="31.5">
      <c r="B75" s="23" t="s">
        <v>54</v>
      </c>
      <c r="C75" s="73">
        <v>24170000</v>
      </c>
      <c r="D75" s="180">
        <f>6000+10000-3600</f>
        <v>12400</v>
      </c>
      <c r="E75" s="180">
        <f>D75</f>
        <v>12400</v>
      </c>
      <c r="F75" s="331">
        <v>12593.19</v>
      </c>
      <c r="G75" s="162">
        <f>#N/A</f>
        <v>193.1900000000005</v>
      </c>
      <c r="H75" s="164">
        <f>F75/E75*100</f>
        <v>101.55798387096775</v>
      </c>
      <c r="I75" s="167">
        <f>#N/A</f>
        <v>193.1900000000005</v>
      </c>
      <c r="J75" s="167">
        <f>F75/D75*100</f>
        <v>101.55798387096775</v>
      </c>
      <c r="K75" s="167">
        <v>2315.93</v>
      </c>
      <c r="L75" s="167">
        <f>#N/A</f>
        <v>10277.26</v>
      </c>
      <c r="M75" s="209">
        <f>F75/K75</f>
        <v>5.4376384433035545</v>
      </c>
      <c r="N75" s="164" t="e">
        <f>E75-#REF!</f>
        <v>#REF!</v>
      </c>
      <c r="O75" s="168" t="e">
        <f>F75-#REF!</f>
        <v>#REF!</v>
      </c>
      <c r="P75" s="167" t="e">
        <f>#N/A</f>
        <v>#REF!</v>
      </c>
      <c r="Q75" s="167" t="e">
        <f>O75/N75*100</f>
        <v>#REF!</v>
      </c>
      <c r="R75" s="38"/>
      <c r="S75" s="97"/>
      <c r="T75" s="147">
        <f>#N/A</f>
        <v>0</v>
      </c>
    </row>
    <row r="76" spans="2:20" ht="18">
      <c r="B76" s="23" t="s">
        <v>101</v>
      </c>
      <c r="C76" s="73">
        <v>24110700</v>
      </c>
      <c r="D76" s="180">
        <v>12</v>
      </c>
      <c r="E76" s="180">
        <f>D76</f>
        <v>12</v>
      </c>
      <c r="F76" s="331">
        <v>13</v>
      </c>
      <c r="G76" s="162">
        <f>#N/A</f>
        <v>1</v>
      </c>
      <c r="H76" s="164">
        <f>F76/E76*100</f>
        <v>108.33333333333333</v>
      </c>
      <c r="I76" s="167">
        <f>#N/A</f>
        <v>1</v>
      </c>
      <c r="J76" s="167">
        <f>F76/D76*100</f>
        <v>108.33333333333333</v>
      </c>
      <c r="K76" s="167">
        <v>0</v>
      </c>
      <c r="L76" s="167">
        <f>#N/A</f>
        <v>13</v>
      </c>
      <c r="M76" s="209"/>
      <c r="N76" s="164" t="e">
        <f>E76-#REF!</f>
        <v>#REF!</v>
      </c>
      <c r="O76" s="168" t="e">
        <f>F76-#REF!</f>
        <v>#REF!</v>
      </c>
      <c r="P76" s="167" t="e">
        <f>#N/A</f>
        <v>#REF!</v>
      </c>
      <c r="Q76" s="167" t="e">
        <f>O76/N76*100</f>
        <v>#REF!</v>
      </c>
      <c r="R76" s="38"/>
      <c r="S76" s="136"/>
      <c r="T76" s="147">
        <f>#N/A</f>
        <v>0</v>
      </c>
    </row>
    <row r="77" spans="2:20" ht="33">
      <c r="B77" s="28" t="s">
        <v>51</v>
      </c>
      <c r="C77" s="65"/>
      <c r="D77" s="183">
        <f>D73+D74+D75+D76</f>
        <v>25707</v>
      </c>
      <c r="E77" s="183">
        <f>E73+E74+E75+E76</f>
        <v>25707</v>
      </c>
      <c r="F77" s="332">
        <f>F73+F74+F75+F76</f>
        <v>27660.95</v>
      </c>
      <c r="G77" s="185">
        <f>#N/A</f>
        <v>1953.9500000000007</v>
      </c>
      <c r="H77" s="186">
        <f>F77/E77*100</f>
        <v>107.60084801804956</v>
      </c>
      <c r="I77" s="187">
        <f>#N/A</f>
        <v>1953.9500000000007</v>
      </c>
      <c r="J77" s="187">
        <f>F77/D77*100</f>
        <v>107.60084801804956</v>
      </c>
      <c r="K77" s="187">
        <v>11309.15</v>
      </c>
      <c r="L77" s="187">
        <f>#N/A</f>
        <v>16351.800000000001</v>
      </c>
      <c r="M77" s="214">
        <f>F77/K77</f>
        <v>2.445891158928832</v>
      </c>
      <c r="N77" s="185" t="e">
        <f>N73+N74+N75+N76</f>
        <v>#REF!</v>
      </c>
      <c r="O77" s="189" t="e">
        <f>O73+O74+O75+O76</f>
        <v>#REF!</v>
      </c>
      <c r="P77" s="187" t="e">
        <f>#N/A</f>
        <v>#REF!</v>
      </c>
      <c r="Q77" s="187" t="e">
        <f>O77/N77*100</f>
        <v>#REF!</v>
      </c>
      <c r="R77" s="39"/>
      <c r="S77" s="116"/>
      <c r="T77" s="147">
        <f>#N/A</f>
        <v>0</v>
      </c>
    </row>
    <row r="78" spans="2:20" ht="46.5">
      <c r="B78" s="12" t="s">
        <v>40</v>
      </c>
      <c r="C78" s="75">
        <v>24062100</v>
      </c>
      <c r="D78" s="180">
        <f>1+49</f>
        <v>50</v>
      </c>
      <c r="E78" s="180">
        <f>D78</f>
        <v>50</v>
      </c>
      <c r="F78" s="331">
        <v>69.99</v>
      </c>
      <c r="G78" s="162">
        <f>#N/A</f>
        <v>19.989999999999995</v>
      </c>
      <c r="H78" s="164"/>
      <c r="I78" s="167">
        <f>#N/A</f>
        <v>19.989999999999995</v>
      </c>
      <c r="J78" s="167"/>
      <c r="K78" s="167">
        <v>1.07</v>
      </c>
      <c r="L78" s="167">
        <f>#N/A</f>
        <v>68.92</v>
      </c>
      <c r="M78" s="209">
        <f>F78/K78</f>
        <v>65.41121495327101</v>
      </c>
      <c r="N78" s="164" t="e">
        <f>E78-#REF!</f>
        <v>#REF!</v>
      </c>
      <c r="O78" s="168" t="e">
        <f>F78-#REF!</f>
        <v>#REF!</v>
      </c>
      <c r="P78" s="167" t="e">
        <f>#N/A</f>
        <v>#REF!</v>
      </c>
      <c r="Q78" s="167"/>
      <c r="R78" s="38"/>
      <c r="S78" s="97"/>
      <c r="T78" s="147">
        <f>#N/A</f>
        <v>0</v>
      </c>
    </row>
    <row r="79" spans="2:20" ht="18" hidden="1">
      <c r="B79" s="23" t="s">
        <v>52</v>
      </c>
      <c r="C79" s="73">
        <v>24061600</v>
      </c>
      <c r="D79" s="180">
        <v>0</v>
      </c>
      <c r="E79" s="180">
        <v>0</v>
      </c>
      <c r="F79" s="331">
        <v>0</v>
      </c>
      <c r="G79" s="162">
        <f>#N/A</f>
        <v>0</v>
      </c>
      <c r="H79" s="164"/>
      <c r="I79" s="167">
        <f>#N/A</f>
        <v>0</v>
      </c>
      <c r="J79" s="190"/>
      <c r="K79" s="167">
        <v>0</v>
      </c>
      <c r="L79" s="167">
        <f>#N/A</f>
        <v>0</v>
      </c>
      <c r="M79" s="209" t="e">
        <f>F79/K79</f>
        <v>#DIV/0!</v>
      </c>
      <c r="N79" s="164" t="e">
        <f>E79-#REF!</f>
        <v>#REF!</v>
      </c>
      <c r="O79" s="168" t="e">
        <f>F79-#REF!</f>
        <v>#REF!</v>
      </c>
      <c r="P79" s="167" t="e">
        <f>#N/A</f>
        <v>#REF!</v>
      </c>
      <c r="Q79" s="190"/>
      <c r="R79" s="41"/>
      <c r="S79" s="99"/>
      <c r="T79" s="147">
        <f>#N/A</f>
        <v>0</v>
      </c>
    </row>
    <row r="80" spans="2:20" ht="18">
      <c r="B80" s="23" t="s">
        <v>46</v>
      </c>
      <c r="C80" s="73">
        <v>19010000</v>
      </c>
      <c r="D80" s="180">
        <f>9500-1150</f>
        <v>8350</v>
      </c>
      <c r="E80" s="180">
        <f>D80</f>
        <v>8350</v>
      </c>
      <c r="F80" s="331">
        <v>8352.68</v>
      </c>
      <c r="G80" s="162">
        <f>#N/A</f>
        <v>2.680000000000291</v>
      </c>
      <c r="H80" s="164">
        <f>F80/E80*100</f>
        <v>100.03209580838323</v>
      </c>
      <c r="I80" s="167">
        <f>#N/A</f>
        <v>2.680000000000291</v>
      </c>
      <c r="J80" s="167">
        <f>F80/D80*100</f>
        <v>100.03209580838323</v>
      </c>
      <c r="K80" s="167">
        <v>0</v>
      </c>
      <c r="L80" s="167">
        <f>#N/A</f>
        <v>8352.68</v>
      </c>
      <c r="M80" s="209"/>
      <c r="N80" s="164" t="e">
        <f>E80-#REF!</f>
        <v>#REF!</v>
      </c>
      <c r="O80" s="168" t="e">
        <f>F80-#REF!</f>
        <v>#REF!</v>
      </c>
      <c r="P80" s="167" t="e">
        <f>O80-N80</f>
        <v>#REF!</v>
      </c>
      <c r="Q80" s="190" t="e">
        <f>O80/N80*100</f>
        <v>#REF!</v>
      </c>
      <c r="R80" s="41"/>
      <c r="S80" s="99"/>
      <c r="T80" s="147">
        <f>#N/A</f>
        <v>0</v>
      </c>
    </row>
    <row r="81" spans="2:20" ht="31.5">
      <c r="B81" s="23" t="s">
        <v>50</v>
      </c>
      <c r="C81" s="73">
        <v>19050000</v>
      </c>
      <c r="D81" s="180">
        <v>0</v>
      </c>
      <c r="E81" s="180">
        <f>D81</f>
        <v>0</v>
      </c>
      <c r="F81" s="331">
        <v>1.48</v>
      </c>
      <c r="G81" s="162">
        <f>#N/A</f>
        <v>1.48</v>
      </c>
      <c r="H81" s="164"/>
      <c r="I81" s="167">
        <f>#N/A</f>
        <v>1.48</v>
      </c>
      <c r="J81" s="167"/>
      <c r="K81" s="167">
        <v>1.43</v>
      </c>
      <c r="L81" s="167">
        <f>#N/A</f>
        <v>0.050000000000000044</v>
      </c>
      <c r="M81" s="209">
        <f>F81/K81</f>
        <v>1.034965034965035</v>
      </c>
      <c r="N81" s="164" t="e">
        <f>E81-#REF!</f>
        <v>#REF!</v>
      </c>
      <c r="O81" s="168" t="e">
        <f>F81-#REF!</f>
        <v>#REF!</v>
      </c>
      <c r="P81" s="167" t="e">
        <f>#N/A</f>
        <v>#REF!</v>
      </c>
      <c r="Q81" s="167"/>
      <c r="R81" s="38"/>
      <c r="S81" s="97"/>
      <c r="T81" s="147">
        <f>#N/A</f>
        <v>0</v>
      </c>
    </row>
    <row r="82" spans="2:20" ht="30">
      <c r="B82" s="28" t="s">
        <v>47</v>
      </c>
      <c r="C82" s="73"/>
      <c r="D82" s="183">
        <f>D78+D81+D79+D80</f>
        <v>8400</v>
      </c>
      <c r="E82" s="183">
        <f>E78+E81+E79+E80</f>
        <v>8400</v>
      </c>
      <c r="F82" s="332">
        <f>F78+F81+F79+F80</f>
        <v>8424.15</v>
      </c>
      <c r="G82" s="183">
        <f>G78+G81+G79+G80</f>
        <v>24.150000000000286</v>
      </c>
      <c r="H82" s="186">
        <f>F82/E82*100</f>
        <v>100.2875</v>
      </c>
      <c r="I82" s="187">
        <f>#N/A</f>
        <v>24.149999999999636</v>
      </c>
      <c r="J82" s="187">
        <f>F82/D82*100</f>
        <v>100.2875</v>
      </c>
      <c r="K82" s="187">
        <v>2.5</v>
      </c>
      <c r="L82" s="187">
        <f>#N/A</f>
        <v>8421.65</v>
      </c>
      <c r="M82" s="220">
        <f>F82/K82</f>
        <v>3369.66</v>
      </c>
      <c r="N82" s="185" t="e">
        <f>N78+N81+N79+N80</f>
        <v>#REF!</v>
      </c>
      <c r="O82" s="189" t="e">
        <f>O78+O81+O79+O80</f>
        <v>#REF!</v>
      </c>
      <c r="P82" s="185" t="e">
        <f>P78+P81+P79+P80</f>
        <v>#REF!</v>
      </c>
      <c r="Q82" s="187" t="e">
        <f>O82/N82*100</f>
        <v>#REF!</v>
      </c>
      <c r="R82" s="39"/>
      <c r="S82" s="96"/>
      <c r="T82" s="147">
        <f>#N/A</f>
        <v>0</v>
      </c>
    </row>
    <row r="83" spans="2:20" ht="30.75">
      <c r="B83" s="12" t="s">
        <v>41</v>
      </c>
      <c r="C83" s="43">
        <v>24110900</v>
      </c>
      <c r="D83" s="180">
        <f>43-16</f>
        <v>27</v>
      </c>
      <c r="E83" s="180">
        <f>D83</f>
        <v>27</v>
      </c>
      <c r="F83" s="331">
        <v>35.33</v>
      </c>
      <c r="G83" s="162">
        <f>#N/A</f>
        <v>8.329999999999998</v>
      </c>
      <c r="H83" s="164">
        <f>F83/E83*100</f>
        <v>130.85185185185185</v>
      </c>
      <c r="I83" s="167">
        <f>#N/A</f>
        <v>8.329999999999998</v>
      </c>
      <c r="J83" s="167">
        <f>F83/D83*100</f>
        <v>130.85185185185185</v>
      </c>
      <c r="K83" s="167">
        <v>38.99</v>
      </c>
      <c r="L83" s="167">
        <f>#N/A</f>
        <v>-3.6600000000000037</v>
      </c>
      <c r="M83" s="209">
        <f>F83/K83</f>
        <v>0.9061297768658629</v>
      </c>
      <c r="N83" s="164" t="e">
        <f>E83-#REF!</f>
        <v>#REF!</v>
      </c>
      <c r="O83" s="168" t="e">
        <f>F83-#REF!</f>
        <v>#REF!</v>
      </c>
      <c r="P83" s="167" t="e">
        <f>#N/A</f>
        <v>#REF!</v>
      </c>
      <c r="Q83" s="167" t="e">
        <f>O83/N83</f>
        <v>#REF!</v>
      </c>
      <c r="R83" s="38"/>
      <c r="S83" s="97"/>
      <c r="T83" s="147">
        <f>#N/A</f>
        <v>0</v>
      </c>
    </row>
    <row r="84" spans="2:20" ht="18" hidden="1">
      <c r="B84" s="122"/>
      <c r="C84" s="43"/>
      <c r="D84" s="180"/>
      <c r="E84" s="180"/>
      <c r="F84" s="331"/>
      <c r="G84" s="162"/>
      <c r="H84" s="164"/>
      <c r="I84" s="167"/>
      <c r="J84" s="167"/>
      <c r="K84" s="167">
        <v>0</v>
      </c>
      <c r="L84" s="167"/>
      <c r="M84" s="167"/>
      <c r="N84" s="164" t="e">
        <f>E84-#REF!</f>
        <v>#REF!</v>
      </c>
      <c r="O84" s="168" t="e">
        <f>F84-#REF!</f>
        <v>#REF!</v>
      </c>
      <c r="P84" s="167" t="e">
        <f>#N/A</f>
        <v>#REF!</v>
      </c>
      <c r="Q84" s="167"/>
      <c r="R84" s="38"/>
      <c r="S84" s="97"/>
      <c r="T84" s="147">
        <f>#N/A</f>
        <v>0</v>
      </c>
    </row>
    <row r="85" spans="2:20" ht="23.25" customHeight="1">
      <c r="B85" s="14" t="s">
        <v>31</v>
      </c>
      <c r="C85" s="66"/>
      <c r="D85" s="191">
        <f>D71+D83+D77+D82</f>
        <v>34134</v>
      </c>
      <c r="E85" s="191">
        <f>E71+E83+E77+E82</f>
        <v>34134</v>
      </c>
      <c r="F85" s="231">
        <f>F71+F83+F77+F82+F84</f>
        <v>36110.25</v>
      </c>
      <c r="G85" s="192">
        <f>F85-E85</f>
        <v>1976.25</v>
      </c>
      <c r="H85" s="193">
        <f>F85/E85*100</f>
        <v>105.78968184215152</v>
      </c>
      <c r="I85" s="194">
        <f>F85-D85</f>
        <v>1976.25</v>
      </c>
      <c r="J85" s="194">
        <f>F85/D85*100</f>
        <v>105.78968184215152</v>
      </c>
      <c r="K85" s="194">
        <v>11294.63</v>
      </c>
      <c r="L85" s="194">
        <f>F85-K85</f>
        <v>24815.620000000003</v>
      </c>
      <c r="M85" s="221">
        <f>F85/K85</f>
        <v>3.1971166828838133</v>
      </c>
      <c r="N85" s="191" t="e">
        <f>N71+N83+N77+N82</f>
        <v>#REF!</v>
      </c>
      <c r="O85" s="191" t="e">
        <f>O71+O83+O77+O82+O84</f>
        <v>#REF!</v>
      </c>
      <c r="P85" s="194" t="e">
        <f>#N/A</f>
        <v>#REF!</v>
      </c>
      <c r="Q85" s="194" t="e">
        <f>O85/N85*100</f>
        <v>#REF!</v>
      </c>
      <c r="R85" s="27" t="e">
        <f>O85-8104.96</f>
        <v>#REF!</v>
      </c>
      <c r="S85" s="95" t="e">
        <f>O85/8104.96</f>
        <v>#REF!</v>
      </c>
      <c r="T85" s="147">
        <f>#N/A</f>
        <v>0</v>
      </c>
    </row>
    <row r="86" spans="2:20" ht="17.25">
      <c r="B86" s="21" t="s">
        <v>32</v>
      </c>
      <c r="C86" s="66"/>
      <c r="D86" s="191">
        <f>D64+D85</f>
        <v>1076859.73</v>
      </c>
      <c r="E86" s="191">
        <f>E64+E85</f>
        <v>1076859.73</v>
      </c>
      <c r="F86" s="231">
        <f>F64+F85</f>
        <v>1089679.7600000002</v>
      </c>
      <c r="G86" s="192">
        <f>F86-E86</f>
        <v>12820.03000000026</v>
      </c>
      <c r="H86" s="193">
        <f>F86/E86*100</f>
        <v>101.19050138498542</v>
      </c>
      <c r="I86" s="194">
        <f>F86-D86</f>
        <v>12820.03000000026</v>
      </c>
      <c r="J86" s="194">
        <f>F86/D86*100</f>
        <v>101.19050138498542</v>
      </c>
      <c r="K86" s="194">
        <f>K64+K85</f>
        <v>734695.25</v>
      </c>
      <c r="L86" s="194">
        <f>F86-K86</f>
        <v>354984.51000000024</v>
      </c>
      <c r="M86" s="221">
        <f>F86/K86</f>
        <v>1.4831724582403387</v>
      </c>
      <c r="N86" s="192" t="e">
        <f>N64+N85</f>
        <v>#REF!</v>
      </c>
      <c r="O86" s="192" t="e">
        <f>O64+O85</f>
        <v>#REF!</v>
      </c>
      <c r="P86" s="194" t="e">
        <f>#N/A</f>
        <v>#REF!</v>
      </c>
      <c r="Q86" s="194" t="e">
        <f>O86/N86*100</f>
        <v>#REF!</v>
      </c>
      <c r="R86" s="27" t="e">
        <f>O86-42872.96</f>
        <v>#REF!</v>
      </c>
      <c r="S86" s="95" t="e">
        <f>O86/42872.96</f>
        <v>#REF!</v>
      </c>
      <c r="T86" s="147">
        <f>#N/A</f>
        <v>0</v>
      </c>
    </row>
    <row r="87" spans="2:20" ht="15">
      <c r="B87" s="20" t="s">
        <v>34</v>
      </c>
      <c r="O87" s="25"/>
      <c r="T87" s="147">
        <f>#N/A</f>
        <v>0</v>
      </c>
    </row>
    <row r="88" spans="2:20" ht="15">
      <c r="B88" s="4" t="s">
        <v>36</v>
      </c>
      <c r="C88" s="76">
        <v>0</v>
      </c>
      <c r="D88" s="4" t="s">
        <v>35</v>
      </c>
      <c r="O88" s="78"/>
      <c r="T88" s="147" t="e">
        <f>#N/A</f>
        <v>#VALUE!</v>
      </c>
    </row>
    <row r="89" spans="2:20" ht="30.75">
      <c r="B89" s="52" t="s">
        <v>53</v>
      </c>
      <c r="C89" s="29" t="e">
        <f>IF(P64&lt;0,ABS(P64/C88),0)</f>
        <v>#REF!</v>
      </c>
      <c r="D89" s="4" t="s">
        <v>24</v>
      </c>
      <c r="G89" s="424"/>
      <c r="H89" s="424"/>
      <c r="I89" s="424"/>
      <c r="J89" s="424"/>
      <c r="K89" s="84"/>
      <c r="L89" s="84"/>
      <c r="M89" s="84"/>
      <c r="Q89" s="25"/>
      <c r="R89" s="25"/>
      <c r="T89" s="147" t="e">
        <f>#N/A</f>
        <v>#VALUE!</v>
      </c>
    </row>
    <row r="90" spans="2:20" ht="34.5" customHeight="1">
      <c r="B90" s="53" t="s">
        <v>55</v>
      </c>
      <c r="C90" s="81">
        <v>42734</v>
      </c>
      <c r="D90" s="29">
        <v>1029.4</v>
      </c>
      <c r="G90" s="4" t="s">
        <v>58</v>
      </c>
      <c r="O90" s="430"/>
      <c r="P90" s="430"/>
      <c r="T90" s="147">
        <f>#N/A</f>
        <v>1029.4</v>
      </c>
    </row>
    <row r="91" spans="3:16" ht="15">
      <c r="C91" s="81">
        <v>42733</v>
      </c>
      <c r="D91" s="29">
        <v>10489.6</v>
      </c>
      <c r="F91" s="260" t="s">
        <v>58</v>
      </c>
      <c r="G91" s="427"/>
      <c r="H91" s="427"/>
      <c r="I91" s="118"/>
      <c r="J91" s="436"/>
      <c r="K91" s="436"/>
      <c r="L91" s="436"/>
      <c r="M91" s="436"/>
      <c r="N91" s="436"/>
      <c r="O91" s="430"/>
      <c r="P91" s="430"/>
    </row>
    <row r="92" spans="3:16" ht="15.75" customHeight="1">
      <c r="C92" s="81">
        <v>42732</v>
      </c>
      <c r="D92" s="29">
        <v>19085.6</v>
      </c>
      <c r="F92" s="333"/>
      <c r="G92" s="427"/>
      <c r="H92" s="427"/>
      <c r="I92" s="118"/>
      <c r="J92" s="437"/>
      <c r="K92" s="437"/>
      <c r="L92" s="437"/>
      <c r="M92" s="437"/>
      <c r="N92" s="437"/>
      <c r="O92" s="430"/>
      <c r="P92" s="430"/>
    </row>
    <row r="93" spans="3:14" ht="15.75" customHeight="1">
      <c r="C93" s="81"/>
      <c r="F93" s="333"/>
      <c r="G93" s="421"/>
      <c r="H93" s="421"/>
      <c r="I93" s="124"/>
      <c r="J93" s="436"/>
      <c r="K93" s="436"/>
      <c r="L93" s="436"/>
      <c r="M93" s="436"/>
      <c r="N93" s="436"/>
    </row>
    <row r="94" spans="2:14" ht="18.75" customHeight="1">
      <c r="B94" s="425" t="s">
        <v>56</v>
      </c>
      <c r="C94" s="426"/>
      <c r="D94" s="133" t="e">
        <f>'[1]ЧТКЕ'!$G$6/1000</f>
        <v>#VALUE!</v>
      </c>
      <c r="E94" s="69"/>
      <c r="F94" s="334" t="s">
        <v>107</v>
      </c>
      <c r="G94" s="427"/>
      <c r="H94" s="427"/>
      <c r="I94" s="126"/>
      <c r="J94" s="436"/>
      <c r="K94" s="436"/>
      <c r="L94" s="436"/>
      <c r="M94" s="436"/>
      <c r="N94" s="436"/>
    </row>
    <row r="95" spans="6:13" ht="9" customHeight="1">
      <c r="F95" s="333"/>
      <c r="G95" s="427"/>
      <c r="H95" s="427"/>
      <c r="I95" s="68"/>
      <c r="J95" s="69"/>
      <c r="K95" s="69"/>
      <c r="L95" s="69"/>
      <c r="M95" s="69"/>
    </row>
    <row r="96" spans="2:13" ht="22.5" customHeight="1" hidden="1">
      <c r="B96" s="428" t="s">
        <v>59</v>
      </c>
      <c r="C96" s="429"/>
      <c r="D96" s="80">
        <v>0</v>
      </c>
      <c r="E96" s="51" t="s">
        <v>24</v>
      </c>
      <c r="F96" s="333"/>
      <c r="G96" s="427"/>
      <c r="H96" s="427"/>
      <c r="I96" s="68"/>
      <c r="J96" s="69"/>
      <c r="K96" s="69"/>
      <c r="L96" s="69"/>
      <c r="M96" s="69"/>
    </row>
    <row r="97" spans="2:16" ht="15" hidden="1">
      <c r="B97" s="4" t="s">
        <v>131</v>
      </c>
      <c r="D97" s="68">
        <f>D45+D48+D49</f>
        <v>1019</v>
      </c>
      <c r="E97" s="68">
        <f>E45+E48+E49</f>
        <v>1019</v>
      </c>
      <c r="F97" s="335">
        <f>F45+F48+F49</f>
        <v>1136.9399999999998</v>
      </c>
      <c r="G97" s="68">
        <f>G45+G48+G49</f>
        <v>117.94000000000004</v>
      </c>
      <c r="H97" s="69"/>
      <c r="I97" s="69"/>
      <c r="N97" s="29" t="e">
        <f>N45+N48+N49</f>
        <v>#REF!</v>
      </c>
      <c r="O97" s="202" t="e">
        <f>O45+O48+O49</f>
        <v>#REF!</v>
      </c>
      <c r="P97" s="29" t="e">
        <f>P45+P48+P49</f>
        <v>#REF!</v>
      </c>
    </row>
    <row r="98" spans="4:16" ht="15" hidden="1">
      <c r="D98" s="78"/>
      <c r="I98" s="29"/>
      <c r="O98" s="420"/>
      <c r="P98" s="420"/>
    </row>
    <row r="99" spans="2:17" ht="15" hidden="1">
      <c r="B99" s="4" t="s">
        <v>119</v>
      </c>
      <c r="D99" s="29">
        <f>D9+D15+D17+D18+D19+D20+D39+D42+D56+D62+D63</f>
        <v>975925.6500000001</v>
      </c>
      <c r="E99" s="29">
        <f>E9+E15+E17+E18+E19+E20+E39+E42+E56+E62+E63</f>
        <v>975925.6500000001</v>
      </c>
      <c r="F99" s="336">
        <f>F9+F15+F17+F18+F19+F20+F39+F42+F56+F62+F63</f>
        <v>985370.43</v>
      </c>
      <c r="G99" s="29">
        <f>F99-E99</f>
        <v>9444.779999999912</v>
      </c>
      <c r="H99" s="230">
        <f>F99/E99</f>
        <v>1.009677765924074</v>
      </c>
      <c r="I99" s="29">
        <f>F99-D99</f>
        <v>9444.779999999912</v>
      </c>
      <c r="J99" s="230">
        <f>F99/D99</f>
        <v>1.009677765924074</v>
      </c>
      <c r="N99" s="29" t="e">
        <f>N9+N15+N17+N18+N19+N20+N39+N42+N44+N56+N62+N63</f>
        <v>#REF!</v>
      </c>
      <c r="O99" s="229" t="e">
        <f>O9+O15+O17+O18+O19+O20+O39+O42+O44+O56+O62+O63</f>
        <v>#REF!</v>
      </c>
      <c r="P99" s="29" t="e">
        <f>O99-N99</f>
        <v>#REF!</v>
      </c>
      <c r="Q99" s="230" t="e">
        <f>O99/N99</f>
        <v>#REF!</v>
      </c>
    </row>
    <row r="100" spans="2:17" ht="15" hidden="1">
      <c r="B100" s="4" t="s">
        <v>120</v>
      </c>
      <c r="D100" s="29">
        <f>D40+D41+D43+D45+D47+D48+D49+D50+D51+D57+D61+D44</f>
        <v>66800.08</v>
      </c>
      <c r="E100" s="29">
        <f>E40+E41+E43+E45+E47+E48+E49+E50+E51+E57+E61+E44</f>
        <v>66800.08</v>
      </c>
      <c r="F100" s="336">
        <f>F40+F41+F43+F45+F47+F48+F49+F50+F51+F57+F61+F44</f>
        <v>68199.08</v>
      </c>
      <c r="G100" s="29">
        <f>G40+G41+G43+G45+G47+G48+G49+G50+G51+G57+G61+G44</f>
        <v>1399</v>
      </c>
      <c r="H100" s="230">
        <f>F100/E100</f>
        <v>1.0209430886909117</v>
      </c>
      <c r="I100" s="29">
        <f>I40+I41+I43+I45+I47+I48+I49+I50+I51+I57+I61+I44</f>
        <v>1399</v>
      </c>
      <c r="J100" s="230">
        <f>F100/D100</f>
        <v>1.0209430886909117</v>
      </c>
      <c r="K100" s="29">
        <f>#N/A</f>
        <v>50668.47</v>
      </c>
      <c r="L100" s="29">
        <f>#N/A</f>
        <v>17530.610000000004</v>
      </c>
      <c r="M100" s="29">
        <f>#N/A</f>
        <v>17.329711026889246</v>
      </c>
      <c r="N100" s="29" t="e">
        <f>#N/A</f>
        <v>#REF!</v>
      </c>
      <c r="O100" s="229" t="e">
        <f>#N/A</f>
        <v>#REF!</v>
      </c>
      <c r="P100" s="29" t="e">
        <f>#N/A</f>
        <v>#REF!</v>
      </c>
      <c r="Q100" s="230" t="e">
        <f>O100/N100</f>
        <v>#REF!</v>
      </c>
    </row>
    <row r="101" spans="2:17" ht="15" hidden="1">
      <c r="B101" s="4" t="s">
        <v>121</v>
      </c>
      <c r="D101" s="29">
        <f>SUM(D99:D100)</f>
        <v>1042725.7300000001</v>
      </c>
      <c r="E101" s="29">
        <f>#N/A</f>
        <v>1042725.7300000001</v>
      </c>
      <c r="F101" s="336">
        <f>#N/A</f>
        <v>1053569.51</v>
      </c>
      <c r="G101" s="29">
        <f>#N/A</f>
        <v>10843.779999999912</v>
      </c>
      <c r="H101" s="230">
        <f>F101/E101</f>
        <v>1.0103994556651057</v>
      </c>
      <c r="I101" s="29">
        <f>#N/A</f>
        <v>10843.779999999912</v>
      </c>
      <c r="J101" s="230">
        <f>F101/D101</f>
        <v>1.0103994556651057</v>
      </c>
      <c r="K101" s="29">
        <f>#N/A</f>
        <v>50668.47</v>
      </c>
      <c r="L101" s="29">
        <f>#N/A</f>
        <v>17530.610000000004</v>
      </c>
      <c r="M101" s="29">
        <f>#N/A</f>
        <v>17.329711026889246</v>
      </c>
      <c r="N101" s="29" t="e">
        <f>#N/A</f>
        <v>#REF!</v>
      </c>
      <c r="O101" s="229" t="e">
        <f>#N/A</f>
        <v>#REF!</v>
      </c>
      <c r="P101" s="29" t="e">
        <f>#N/A</f>
        <v>#REF!</v>
      </c>
      <c r="Q101" s="230" t="e">
        <f>O101/N101</f>
        <v>#REF!</v>
      </c>
    </row>
    <row r="102" spans="4:21" ht="15" hidden="1">
      <c r="D102" s="29">
        <f>D64-D101</f>
        <v>0</v>
      </c>
      <c r="E102" s="29">
        <f>#N/A</f>
        <v>0</v>
      </c>
      <c r="F102" s="78">
        <f>#N/A</f>
        <v>0</v>
      </c>
      <c r="G102" s="29">
        <f>#N/A</f>
        <v>2.3283064365386963E-10</v>
      </c>
      <c r="H102" s="230"/>
      <c r="I102" s="29">
        <f>#N/A</f>
        <v>2.3283064365386963E-10</v>
      </c>
      <c r="J102" s="230"/>
      <c r="K102" s="29">
        <f>#N/A</f>
        <v>672732.15</v>
      </c>
      <c r="L102" s="29">
        <f>#N/A</f>
        <v>312638.28000000026</v>
      </c>
      <c r="M102" s="29">
        <f>#N/A</f>
        <v>-15.873298797107081</v>
      </c>
      <c r="N102" s="29" t="e">
        <f>#N/A</f>
        <v>#REF!</v>
      </c>
      <c r="O102" s="29" t="e">
        <f>#N/A</f>
        <v>#REF!</v>
      </c>
      <c r="P102" s="29" t="e">
        <f>#N/A</f>
        <v>#REF!</v>
      </c>
      <c r="Q102" s="29"/>
      <c r="R102" s="29" t="e">
        <f>#N/A</f>
        <v>#REF!</v>
      </c>
      <c r="S102" s="29" t="e">
        <f>#N/A</f>
        <v>#REF!</v>
      </c>
      <c r="T102" s="29">
        <f>#N/A</f>
        <v>0</v>
      </c>
      <c r="U102" s="29">
        <f>#N/A</f>
        <v>0</v>
      </c>
    </row>
    <row r="103" ht="15">
      <c r="E103" s="4" t="s">
        <v>58</v>
      </c>
    </row>
  </sheetData>
  <sheetProtection/>
  <mergeCells count="37">
    <mergeCell ref="B96:C96"/>
    <mergeCell ref="G96:H96"/>
    <mergeCell ref="O98:P98"/>
    <mergeCell ref="G93:H93"/>
    <mergeCell ref="J93:N93"/>
    <mergeCell ref="B94:C94"/>
    <mergeCell ref="G94:H94"/>
    <mergeCell ref="J94:N94"/>
    <mergeCell ref="G95:H95"/>
    <mergeCell ref="G91:H91"/>
    <mergeCell ref="J91:N91"/>
    <mergeCell ref="O91:P91"/>
    <mergeCell ref="G92:H92"/>
    <mergeCell ref="J92:N92"/>
    <mergeCell ref="O92:P92"/>
    <mergeCell ref="P4:P5"/>
    <mergeCell ref="Q4:Q5"/>
    <mergeCell ref="K5:M5"/>
    <mergeCell ref="R5:S5"/>
    <mergeCell ref="G89:J89"/>
    <mergeCell ref="O90:P90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.1968503937007874" right="0" top="0.1968503937007874" bottom="0.15748031496062992" header="0" footer="0"/>
  <pageSetup fitToHeight="2" fitToWidth="1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27"/>
  <sheetViews>
    <sheetView zoomScale="80" zoomScaleNormal="80" zoomScalePageLayoutView="0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AB15" sqref="AB15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875" style="113" customWidth="1"/>
    <col min="7" max="7" width="13.25390625" style="4" customWidth="1"/>
    <col min="8" max="8" width="11.50390625" style="4" customWidth="1"/>
    <col min="9" max="9" width="15.25390625" style="4" customWidth="1"/>
    <col min="10" max="13" width="11.75390625" style="4" hidden="1" customWidth="1"/>
    <col min="14" max="14" width="14.00390625" style="4" hidden="1" customWidth="1"/>
    <col min="15" max="15" width="11.75390625" style="4" hidden="1" customWidth="1"/>
    <col min="16" max="16" width="11.75390625" style="230" hidden="1" customWidth="1"/>
    <col min="17" max="18" width="12.25390625" style="4" hidden="1" customWidth="1"/>
    <col min="19" max="19" width="14.25390625" style="4" hidden="1" customWidth="1"/>
    <col min="20" max="20" width="12.00390625" style="4" hidden="1" customWidth="1"/>
    <col min="21" max="21" width="12.25390625" style="4" hidden="1" customWidth="1"/>
    <col min="22" max="22" width="12.625" style="4" hidden="1" customWidth="1"/>
    <col min="23" max="25" width="11.00390625" style="4" hidden="1" customWidth="1"/>
    <col min="26" max="16384" width="9.125" style="4" customWidth="1"/>
  </cols>
  <sheetData>
    <row r="1" spans="1:25" s="1" customFormat="1" ht="26.25" customHeight="1">
      <c r="A1" s="396" t="s">
        <v>260</v>
      </c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  <c r="M1" s="396"/>
      <c r="N1" s="396"/>
      <c r="O1" s="396"/>
      <c r="P1" s="396"/>
      <c r="Q1" s="396"/>
      <c r="R1" s="396"/>
      <c r="S1" s="396"/>
      <c r="T1" s="396"/>
      <c r="U1" s="396"/>
      <c r="V1" s="396"/>
      <c r="W1" s="396"/>
      <c r="X1" s="86"/>
      <c r="Y1" s="86"/>
    </row>
    <row r="2" spans="2:25" s="1" customFormat="1" ht="15.75" customHeight="1">
      <c r="B2" s="397"/>
      <c r="C2" s="397"/>
      <c r="D2" s="397"/>
      <c r="E2" s="2"/>
      <c r="F2" s="112"/>
      <c r="G2" s="2"/>
      <c r="H2" s="2"/>
      <c r="P2" s="337"/>
      <c r="S2" s="1" t="s">
        <v>24</v>
      </c>
      <c r="W2" s="17" t="s">
        <v>24</v>
      </c>
      <c r="X2" s="17"/>
      <c r="Y2" s="17"/>
    </row>
    <row r="3" spans="1:25" s="3" customFormat="1" ht="13.5" customHeight="1">
      <c r="A3" s="398"/>
      <c r="B3" s="400"/>
      <c r="C3" s="401" t="s">
        <v>0</v>
      </c>
      <c r="D3" s="402" t="s">
        <v>150</v>
      </c>
      <c r="E3" s="32"/>
      <c r="F3" s="403" t="s">
        <v>26</v>
      </c>
      <c r="G3" s="404"/>
      <c r="H3" s="404"/>
      <c r="I3" s="404"/>
      <c r="J3" s="405"/>
      <c r="K3" s="83" t="s">
        <v>245</v>
      </c>
      <c r="L3" s="83"/>
      <c r="M3" s="83"/>
      <c r="N3" s="83" t="s">
        <v>245</v>
      </c>
      <c r="O3" s="83"/>
      <c r="P3" s="338"/>
      <c r="Q3" s="83"/>
      <c r="R3" s="83"/>
      <c r="S3" s="83"/>
      <c r="T3" s="406" t="s">
        <v>244</v>
      </c>
      <c r="U3" s="409" t="s">
        <v>252</v>
      </c>
      <c r="V3" s="409"/>
      <c r="W3" s="409"/>
      <c r="X3" s="409"/>
      <c r="Y3" s="409"/>
    </row>
    <row r="4" spans="1:25" ht="22.5" customHeight="1">
      <c r="A4" s="398"/>
      <c r="B4" s="400"/>
      <c r="C4" s="401"/>
      <c r="D4" s="402"/>
      <c r="E4" s="392" t="s">
        <v>249</v>
      </c>
      <c r="F4" s="422" t="s">
        <v>33</v>
      </c>
      <c r="G4" s="410" t="s">
        <v>250</v>
      </c>
      <c r="H4" s="407" t="s">
        <v>251</v>
      </c>
      <c r="I4" s="410" t="s">
        <v>138</v>
      </c>
      <c r="J4" s="407" t="s">
        <v>139</v>
      </c>
      <c r="K4" s="85" t="s">
        <v>246</v>
      </c>
      <c r="L4" s="204" t="s">
        <v>113</v>
      </c>
      <c r="M4" s="90" t="s">
        <v>63</v>
      </c>
      <c r="N4" s="85" t="s">
        <v>141</v>
      </c>
      <c r="O4" s="204" t="s">
        <v>113</v>
      </c>
      <c r="P4" s="339" t="s">
        <v>63</v>
      </c>
      <c r="Q4" s="85" t="s">
        <v>141</v>
      </c>
      <c r="R4" s="204" t="s">
        <v>113</v>
      </c>
      <c r="S4" s="90" t="s">
        <v>63</v>
      </c>
      <c r="T4" s="407"/>
      <c r="U4" s="394" t="s">
        <v>261</v>
      </c>
      <c r="V4" s="410" t="s">
        <v>49</v>
      </c>
      <c r="W4" s="412" t="s">
        <v>48</v>
      </c>
      <c r="X4" s="91" t="s">
        <v>64</v>
      </c>
      <c r="Y4" s="91"/>
    </row>
    <row r="5" spans="1:25" ht="77.25" customHeight="1">
      <c r="A5" s="399"/>
      <c r="B5" s="400"/>
      <c r="C5" s="401"/>
      <c r="D5" s="402"/>
      <c r="E5" s="393"/>
      <c r="F5" s="423"/>
      <c r="G5" s="411"/>
      <c r="H5" s="408"/>
      <c r="I5" s="411"/>
      <c r="J5" s="408"/>
      <c r="K5" s="413" t="s">
        <v>247</v>
      </c>
      <c r="L5" s="414"/>
      <c r="M5" s="415"/>
      <c r="N5" s="431" t="s">
        <v>248</v>
      </c>
      <c r="O5" s="432"/>
      <c r="P5" s="433"/>
      <c r="Q5" s="419" t="s">
        <v>253</v>
      </c>
      <c r="R5" s="419"/>
      <c r="S5" s="419"/>
      <c r="T5" s="408"/>
      <c r="U5" s="395"/>
      <c r="V5" s="411"/>
      <c r="W5" s="412"/>
      <c r="X5" s="434" t="s">
        <v>215</v>
      </c>
      <c r="Y5" s="435"/>
    </row>
    <row r="6" spans="1:25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/>
      <c r="L6" s="10"/>
      <c r="M6" s="10"/>
      <c r="N6" s="10"/>
      <c r="O6" s="10"/>
      <c r="P6" s="340"/>
      <c r="Q6" s="10" t="s">
        <v>25</v>
      </c>
      <c r="R6" s="10"/>
      <c r="S6" s="10" t="s">
        <v>66</v>
      </c>
      <c r="T6" s="10" t="s">
        <v>67</v>
      </c>
      <c r="U6" s="143" t="s">
        <v>68</v>
      </c>
      <c r="V6" s="10" t="s">
        <v>69</v>
      </c>
      <c r="W6" s="10" t="s">
        <v>70</v>
      </c>
      <c r="X6" s="10" t="s">
        <v>71</v>
      </c>
      <c r="Y6" s="10"/>
    </row>
    <row r="7" spans="1:25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0"/>
      <c r="P7" s="340"/>
      <c r="Q7" s="10"/>
      <c r="R7" s="10"/>
      <c r="S7" s="10"/>
      <c r="T7" s="10"/>
      <c r="U7" s="143"/>
      <c r="V7" s="10"/>
      <c r="W7" s="10"/>
      <c r="X7" s="10"/>
      <c r="Y7" s="10"/>
    </row>
    <row r="8" spans="1:25" s="6" customFormat="1" ht="17.25">
      <c r="A8" s="7"/>
      <c r="B8" s="154" t="s">
        <v>9</v>
      </c>
      <c r="C8" s="70" t="s">
        <v>10</v>
      </c>
      <c r="D8" s="151">
        <f>D9+D15+D18+D19+D23+D17</f>
        <v>1298451.1</v>
      </c>
      <c r="E8" s="151">
        <f>E9+E15+E18+E19+E23+E17</f>
        <v>1064544.6</v>
      </c>
      <c r="F8" s="151">
        <f>F9+F15+F18+F19+F23+F17</f>
        <v>1075824.14</v>
      </c>
      <c r="G8" s="151">
        <f>F8-E8</f>
        <v>11279.539999999804</v>
      </c>
      <c r="H8" s="152">
        <f>F8/E8*100</f>
        <v>101.05956481297258</v>
      </c>
      <c r="I8" s="153">
        <f aca="true" t="shared" si="0" ref="I8:I40">F8-D8</f>
        <v>-222626.9600000002</v>
      </c>
      <c r="J8" s="153">
        <f aca="true" t="shared" si="1" ref="J8:J39">F8/D8*100</f>
        <v>82.85442093275594</v>
      </c>
      <c r="K8" s="153"/>
      <c r="L8" s="153"/>
      <c r="M8" s="153"/>
      <c r="N8" s="153">
        <v>984796</v>
      </c>
      <c r="O8" s="153">
        <f aca="true" t="shared" si="2" ref="O8:O20">D8-N8</f>
        <v>313655.1000000001</v>
      </c>
      <c r="P8" s="219">
        <f aca="true" t="shared" si="3" ref="P8:P20">D8/N8</f>
        <v>1.31849753654564</v>
      </c>
      <c r="Q8" s="151">
        <v>797618.75</v>
      </c>
      <c r="R8" s="151">
        <f aca="true" t="shared" si="4" ref="R8:R25">F8-Q8</f>
        <v>278205.3899999999</v>
      </c>
      <c r="S8" s="205">
        <f aca="true" t="shared" si="5" ref="S8:S20">F8/Q8</f>
        <v>1.3487949474608012</v>
      </c>
      <c r="T8" s="151">
        <f>T9+T15+T18+T19+T23+T17</f>
        <v>117913</v>
      </c>
      <c r="U8" s="151">
        <f>U9+U15+U18+U19+U23+U17</f>
        <v>137592.29999999993</v>
      </c>
      <c r="V8" s="151">
        <f>U8-T8</f>
        <v>19679.29999999993</v>
      </c>
      <c r="W8" s="151">
        <f aca="true" t="shared" si="6" ref="W8:W16">U8/T8*100</f>
        <v>116.68967798291956</v>
      </c>
      <c r="X8" s="15">
        <f>X9+X15+X18+X19+X23</f>
        <v>102514</v>
      </c>
      <c r="Y8" s="15">
        <f>U8-X8</f>
        <v>35078.29999999993</v>
      </c>
    </row>
    <row r="9" spans="1:25" s="6" customFormat="1" ht="18">
      <c r="A9" s="8"/>
      <c r="B9" s="13" t="s">
        <v>79</v>
      </c>
      <c r="C9" s="43">
        <v>11010000</v>
      </c>
      <c r="D9" s="150">
        <v>766645</v>
      </c>
      <c r="E9" s="150">
        <v>613640</v>
      </c>
      <c r="F9" s="156">
        <v>618210.99</v>
      </c>
      <c r="G9" s="150">
        <f>F9-E9</f>
        <v>4570.989999999991</v>
      </c>
      <c r="H9" s="157">
        <f>F9/E9*100</f>
        <v>100.74489765986571</v>
      </c>
      <c r="I9" s="158">
        <f t="shared" si="0"/>
        <v>-148434.01</v>
      </c>
      <c r="J9" s="158">
        <f t="shared" si="1"/>
        <v>80.63849500094568</v>
      </c>
      <c r="K9" s="158"/>
      <c r="L9" s="158"/>
      <c r="M9" s="158"/>
      <c r="N9" s="158">
        <v>541908.6</v>
      </c>
      <c r="O9" s="158">
        <f t="shared" si="2"/>
        <v>224736.40000000002</v>
      </c>
      <c r="P9" s="210">
        <f t="shared" si="3"/>
        <v>1.414712739380774</v>
      </c>
      <c r="Q9" s="227">
        <v>431282.79</v>
      </c>
      <c r="R9" s="159">
        <f t="shared" si="4"/>
        <v>186928.2</v>
      </c>
      <c r="S9" s="206">
        <f t="shared" si="5"/>
        <v>1.4334237403722974</v>
      </c>
      <c r="T9" s="157">
        <f>E9-вересень!E9</f>
        <v>66500</v>
      </c>
      <c r="U9" s="160">
        <f>F9-вересень!F9</f>
        <v>66279.43999999994</v>
      </c>
      <c r="V9" s="161">
        <f>U9-T9</f>
        <v>-220.56000000005588</v>
      </c>
      <c r="W9" s="158">
        <f t="shared" si="6"/>
        <v>99.66833082706759</v>
      </c>
      <c r="X9" s="100">
        <v>71000</v>
      </c>
      <c r="Y9" s="100">
        <f>U9-X9</f>
        <v>-4720.560000000056</v>
      </c>
    </row>
    <row r="10" spans="1:25" s="6" customFormat="1" ht="15" customHeight="1" hidden="1">
      <c r="A10" s="8"/>
      <c r="B10" s="121" t="s">
        <v>89</v>
      </c>
      <c r="C10" s="102">
        <v>11010100</v>
      </c>
      <c r="D10" s="103">
        <v>701317</v>
      </c>
      <c r="E10" s="103">
        <v>559550</v>
      </c>
      <c r="F10" s="140">
        <v>566531.12</v>
      </c>
      <c r="G10" s="103">
        <f aca="true" t="shared" si="7" ref="G10:G35">F10-E10</f>
        <v>6981.119999999995</v>
      </c>
      <c r="H10" s="105">
        <f aca="true" t="shared" si="8" ref="H10:H15">F10/E10*100</f>
        <v>101.24763113215978</v>
      </c>
      <c r="I10" s="104">
        <f t="shared" si="0"/>
        <v>-134785.88</v>
      </c>
      <c r="J10" s="104">
        <f t="shared" si="1"/>
        <v>80.7810333985915</v>
      </c>
      <c r="K10" s="104"/>
      <c r="L10" s="104"/>
      <c r="M10" s="104"/>
      <c r="N10" s="104">
        <v>476189.93</v>
      </c>
      <c r="O10" s="104">
        <f t="shared" si="2"/>
        <v>225127.07</v>
      </c>
      <c r="P10" s="109">
        <f t="shared" si="3"/>
        <v>1.4727673892641955</v>
      </c>
      <c r="Q10" s="106">
        <v>379448.35</v>
      </c>
      <c r="R10" s="106">
        <f t="shared" si="4"/>
        <v>187082.77000000002</v>
      </c>
      <c r="S10" s="207">
        <f t="shared" si="5"/>
        <v>1.4930388286047365</v>
      </c>
      <c r="T10" s="105">
        <f>E10-вересень!E10</f>
        <v>61244</v>
      </c>
      <c r="U10" s="144">
        <f>F10-вересень!F10</f>
        <v>60466.359999999986</v>
      </c>
      <c r="V10" s="106">
        <f aca="true" t="shared" si="9" ref="V10:V40">U10-T10</f>
        <v>-777.640000000014</v>
      </c>
      <c r="W10" s="104">
        <f t="shared" si="6"/>
        <v>98.730259290706</v>
      </c>
      <c r="X10" s="37"/>
      <c r="Y10" s="100" t="e">
        <f>#N/A</f>
        <v>#N/A</v>
      </c>
    </row>
    <row r="11" spans="1:25" s="6" customFormat="1" ht="15" customHeight="1" hidden="1">
      <c r="A11" s="8"/>
      <c r="B11" s="121" t="s">
        <v>85</v>
      </c>
      <c r="C11" s="102">
        <v>11010200</v>
      </c>
      <c r="D11" s="103">
        <v>46506</v>
      </c>
      <c r="E11" s="103">
        <v>38100</v>
      </c>
      <c r="F11" s="140">
        <v>33412.81</v>
      </c>
      <c r="G11" s="103">
        <f t="shared" si="7"/>
        <v>-4687.190000000002</v>
      </c>
      <c r="H11" s="105">
        <f t="shared" si="8"/>
        <v>87.69766404199476</v>
      </c>
      <c r="I11" s="104">
        <f t="shared" si="0"/>
        <v>-13093.190000000002</v>
      </c>
      <c r="J11" s="104">
        <f t="shared" si="1"/>
        <v>71.84623489442222</v>
      </c>
      <c r="K11" s="104"/>
      <c r="L11" s="104"/>
      <c r="M11" s="104"/>
      <c r="N11" s="104">
        <v>42401.33</v>
      </c>
      <c r="O11" s="104">
        <f t="shared" si="2"/>
        <v>4104.669999999998</v>
      </c>
      <c r="P11" s="109">
        <f t="shared" si="3"/>
        <v>1.0968052181382046</v>
      </c>
      <c r="Q11" s="106">
        <v>32764.1</v>
      </c>
      <c r="R11" s="106">
        <f t="shared" si="4"/>
        <v>648.7099999999991</v>
      </c>
      <c r="S11" s="207">
        <f t="shared" si="5"/>
        <v>1.0197994146031784</v>
      </c>
      <c r="T11" s="105">
        <f>E11-вересень!E11</f>
        <v>3900</v>
      </c>
      <c r="U11" s="144">
        <f>F11-вересень!F11</f>
        <v>3678.409999999996</v>
      </c>
      <c r="V11" s="106">
        <f t="shared" si="9"/>
        <v>-221.59000000000378</v>
      </c>
      <c r="W11" s="104">
        <f t="shared" si="6"/>
        <v>94.31820512820504</v>
      </c>
      <c r="X11" s="37"/>
      <c r="Y11" s="100" t="e">
        <f>#N/A</f>
        <v>#N/A</v>
      </c>
    </row>
    <row r="12" spans="1:25" s="6" customFormat="1" ht="15" customHeight="1" hidden="1">
      <c r="A12" s="8"/>
      <c r="B12" s="121" t="s">
        <v>88</v>
      </c>
      <c r="C12" s="102">
        <v>11010400</v>
      </c>
      <c r="D12" s="103">
        <v>8280</v>
      </c>
      <c r="E12" s="103">
        <v>6780</v>
      </c>
      <c r="F12" s="140">
        <v>8282.99</v>
      </c>
      <c r="G12" s="103">
        <f t="shared" si="7"/>
        <v>1502.9899999999998</v>
      </c>
      <c r="H12" s="105">
        <f t="shared" si="8"/>
        <v>122.16799410029498</v>
      </c>
      <c r="I12" s="104">
        <f t="shared" si="0"/>
        <v>2.9899999999997817</v>
      </c>
      <c r="J12" s="104">
        <f t="shared" si="1"/>
        <v>100.0361111111111</v>
      </c>
      <c r="K12" s="104"/>
      <c r="L12" s="104"/>
      <c r="M12" s="104"/>
      <c r="N12" s="104">
        <v>10663.92</v>
      </c>
      <c r="O12" s="104">
        <f t="shared" si="2"/>
        <v>-2383.92</v>
      </c>
      <c r="P12" s="109">
        <f t="shared" si="3"/>
        <v>0.7764499358584835</v>
      </c>
      <c r="Q12" s="106">
        <v>7976.57</v>
      </c>
      <c r="R12" s="106">
        <f t="shared" si="4"/>
        <v>306.4200000000001</v>
      </c>
      <c r="S12" s="207">
        <f t="shared" si="5"/>
        <v>1.0384150079545469</v>
      </c>
      <c r="T12" s="105">
        <f>E12-вересень!E12</f>
        <v>600</v>
      </c>
      <c r="U12" s="144">
        <f>F12-вересень!F12</f>
        <v>744.3499999999995</v>
      </c>
      <c r="V12" s="106">
        <f t="shared" si="9"/>
        <v>144.34999999999945</v>
      </c>
      <c r="W12" s="104">
        <f t="shared" si="6"/>
        <v>124.05833333333325</v>
      </c>
      <c r="X12" s="37"/>
      <c r="Y12" s="100" t="e">
        <f>#N/A</f>
        <v>#N/A</v>
      </c>
    </row>
    <row r="13" spans="1:25" s="6" customFormat="1" ht="15" customHeight="1" hidden="1">
      <c r="A13" s="8"/>
      <c r="B13" s="121" t="s">
        <v>86</v>
      </c>
      <c r="C13" s="102">
        <v>11010500</v>
      </c>
      <c r="D13" s="103">
        <v>9390</v>
      </c>
      <c r="E13" s="103">
        <v>8250</v>
      </c>
      <c r="F13" s="140">
        <v>8839.87</v>
      </c>
      <c r="G13" s="103">
        <f t="shared" si="7"/>
        <v>589.8700000000008</v>
      </c>
      <c r="H13" s="105">
        <f t="shared" si="8"/>
        <v>107.14993939393939</v>
      </c>
      <c r="I13" s="104">
        <f t="shared" si="0"/>
        <v>-550.1299999999992</v>
      </c>
      <c r="J13" s="104">
        <f t="shared" si="1"/>
        <v>94.14132055378063</v>
      </c>
      <c r="K13" s="104"/>
      <c r="L13" s="104"/>
      <c r="M13" s="104"/>
      <c r="N13" s="104">
        <v>9532.64</v>
      </c>
      <c r="O13" s="104">
        <f t="shared" si="2"/>
        <v>-142.63999999999942</v>
      </c>
      <c r="P13" s="109">
        <f t="shared" si="3"/>
        <v>0.9850366739958711</v>
      </c>
      <c r="Q13" s="106">
        <v>8349.79</v>
      </c>
      <c r="R13" s="106">
        <f t="shared" si="4"/>
        <v>490.0799999999999</v>
      </c>
      <c r="S13" s="207">
        <f t="shared" si="5"/>
        <v>1.0586936916976355</v>
      </c>
      <c r="T13" s="105">
        <f>E13-вересень!E13</f>
        <v>660</v>
      </c>
      <c r="U13" s="144">
        <f>F13-вересень!F13</f>
        <v>1282.5700000000006</v>
      </c>
      <c r="V13" s="106">
        <f t="shared" si="9"/>
        <v>622.5700000000006</v>
      </c>
      <c r="W13" s="104">
        <f t="shared" si="6"/>
        <v>194.32878787878798</v>
      </c>
      <c r="X13" s="37"/>
      <c r="Y13" s="100" t="e">
        <f>#N/A</f>
        <v>#N/A</v>
      </c>
    </row>
    <row r="14" spans="1:25" s="6" customFormat="1" ht="15" customHeight="1" hidden="1">
      <c r="A14" s="8"/>
      <c r="B14" s="121" t="s">
        <v>87</v>
      </c>
      <c r="C14" s="102">
        <v>11010900</v>
      </c>
      <c r="D14" s="103">
        <v>1152</v>
      </c>
      <c r="E14" s="103">
        <v>960</v>
      </c>
      <c r="F14" s="140">
        <v>1144.2</v>
      </c>
      <c r="G14" s="103">
        <f t="shared" si="7"/>
        <v>184.20000000000005</v>
      </c>
      <c r="H14" s="105">
        <f t="shared" si="8"/>
        <v>119.1875</v>
      </c>
      <c r="I14" s="104">
        <f t="shared" si="0"/>
        <v>-7.7999999999999545</v>
      </c>
      <c r="J14" s="104">
        <f t="shared" si="1"/>
        <v>99.32291666666667</v>
      </c>
      <c r="K14" s="104"/>
      <c r="L14" s="104"/>
      <c r="M14" s="104"/>
      <c r="N14" s="104">
        <v>3120.73</v>
      </c>
      <c r="O14" s="104">
        <f t="shared" si="2"/>
        <v>-1968.73</v>
      </c>
      <c r="P14" s="109">
        <f t="shared" si="3"/>
        <v>0.36914439890666606</v>
      </c>
      <c r="Q14" s="106">
        <v>2743.99</v>
      </c>
      <c r="R14" s="106">
        <f t="shared" si="4"/>
        <v>-1599.7899999999997</v>
      </c>
      <c r="S14" s="207">
        <f t="shared" si="5"/>
        <v>0.4169840269097191</v>
      </c>
      <c r="T14" s="105">
        <f>E14-вересень!E14</f>
        <v>96</v>
      </c>
      <c r="U14" s="144">
        <f>F14-вересень!F14</f>
        <v>107.75</v>
      </c>
      <c r="V14" s="106">
        <f t="shared" si="9"/>
        <v>11.75</v>
      </c>
      <c r="W14" s="104">
        <f t="shared" si="6"/>
        <v>112.23958333333333</v>
      </c>
      <c r="X14" s="37"/>
      <c r="Y14" s="100" t="e">
        <f>#N/A</f>
        <v>#N/A</v>
      </c>
    </row>
    <row r="15" spans="1:25" s="6" customFormat="1" ht="30.75">
      <c r="A15" s="8"/>
      <c r="B15" s="12" t="s">
        <v>11</v>
      </c>
      <c r="C15" s="43">
        <v>11020200</v>
      </c>
      <c r="D15" s="150">
        <v>551</v>
      </c>
      <c r="E15" s="150">
        <f>341+110</f>
        <v>451</v>
      </c>
      <c r="F15" s="156">
        <v>380.29</v>
      </c>
      <c r="G15" s="150">
        <f t="shared" si="7"/>
        <v>-70.70999999999998</v>
      </c>
      <c r="H15" s="157">
        <f t="shared" si="8"/>
        <v>84.32150776053216</v>
      </c>
      <c r="I15" s="158">
        <f t="shared" si="0"/>
        <v>-170.70999999999998</v>
      </c>
      <c r="J15" s="158">
        <f t="shared" si="1"/>
        <v>69.01814882032669</v>
      </c>
      <c r="K15" s="158"/>
      <c r="L15" s="158"/>
      <c r="M15" s="158"/>
      <c r="N15" s="158">
        <v>459.29</v>
      </c>
      <c r="O15" s="158">
        <f t="shared" si="2"/>
        <v>91.70999999999998</v>
      </c>
      <c r="P15" s="210">
        <f t="shared" si="3"/>
        <v>1.1996777635045395</v>
      </c>
      <c r="Q15" s="161">
        <v>386.82</v>
      </c>
      <c r="R15" s="161">
        <f t="shared" si="4"/>
        <v>-6.529999999999973</v>
      </c>
      <c r="S15" s="208">
        <f t="shared" si="5"/>
        <v>0.9831187632490564</v>
      </c>
      <c r="T15" s="157">
        <f>E15-вересень!E15</f>
        <v>0</v>
      </c>
      <c r="U15" s="160">
        <f>F15-вересень!F15</f>
        <v>3.480000000000018</v>
      </c>
      <c r="V15" s="161">
        <f t="shared" si="9"/>
        <v>3.480000000000018</v>
      </c>
      <c r="W15" s="158" t="e">
        <f t="shared" si="6"/>
        <v>#DIV/0!</v>
      </c>
      <c r="X15" s="37">
        <v>0</v>
      </c>
      <c r="Y15" s="100" t="e">
        <f>#N/A</f>
        <v>#N/A</v>
      </c>
    </row>
    <row r="16" spans="1:25" s="6" customFormat="1" ht="18" customHeight="1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150">
        <f t="shared" si="7"/>
        <v>0</v>
      </c>
      <c r="H16" s="157" t="e">
        <f>F16/E16/100</f>
        <v>#DIV/0!</v>
      </c>
      <c r="I16" s="158">
        <f t="shared" si="0"/>
        <v>0</v>
      </c>
      <c r="J16" s="158" t="e">
        <f t="shared" si="1"/>
        <v>#DIV/0!</v>
      </c>
      <c r="K16" s="158"/>
      <c r="L16" s="158"/>
      <c r="M16" s="158"/>
      <c r="N16" s="158"/>
      <c r="O16" s="158">
        <f t="shared" si="2"/>
        <v>0</v>
      </c>
      <c r="P16" s="210" t="e">
        <f t="shared" si="3"/>
        <v>#DIV/0!</v>
      </c>
      <c r="Q16" s="106">
        <v>0</v>
      </c>
      <c r="R16" s="161">
        <f t="shared" si="4"/>
        <v>0</v>
      </c>
      <c r="S16" s="208" t="e">
        <f t="shared" si="5"/>
        <v>#DIV/0!</v>
      </c>
      <c r="T16" s="157">
        <f>E16-вересень!E16</f>
        <v>0</v>
      </c>
      <c r="U16" s="160">
        <f>F16-вересень!F16</f>
        <v>0</v>
      </c>
      <c r="V16" s="161">
        <f t="shared" si="9"/>
        <v>0</v>
      </c>
      <c r="W16" s="158" t="e">
        <f t="shared" si="6"/>
        <v>#DIV/0!</v>
      </c>
      <c r="X16" s="104">
        <f>U16-358.81</f>
        <v>-358.81</v>
      </c>
      <c r="Y16" s="100" t="e">
        <f>#N/A</f>
        <v>#N/A</v>
      </c>
    </row>
    <row r="17" spans="1:25" s="6" customFormat="1" ht="30.75" customHeight="1">
      <c r="A17" s="8"/>
      <c r="B17" s="225" t="s">
        <v>116</v>
      </c>
      <c r="C17" s="120">
        <v>13010200</v>
      </c>
      <c r="D17" s="162">
        <v>0</v>
      </c>
      <c r="E17" s="162">
        <v>0</v>
      </c>
      <c r="F17" s="163">
        <v>0.49</v>
      </c>
      <c r="G17" s="150">
        <f t="shared" si="7"/>
        <v>0.49</v>
      </c>
      <c r="H17" s="157"/>
      <c r="I17" s="158">
        <f t="shared" si="0"/>
        <v>0.49</v>
      </c>
      <c r="J17" s="158"/>
      <c r="K17" s="158"/>
      <c r="L17" s="158"/>
      <c r="M17" s="158"/>
      <c r="N17" s="158">
        <v>0.17</v>
      </c>
      <c r="O17" s="158">
        <f t="shared" si="2"/>
        <v>-0.17</v>
      </c>
      <c r="P17" s="210">
        <f t="shared" si="3"/>
        <v>0</v>
      </c>
      <c r="Q17" s="167">
        <v>0.17</v>
      </c>
      <c r="R17" s="161">
        <f t="shared" si="4"/>
        <v>0.31999999999999995</v>
      </c>
      <c r="S17" s="208">
        <f t="shared" si="5"/>
        <v>2.88235294117647</v>
      </c>
      <c r="T17" s="157">
        <f>E17-вересень!E17</f>
        <v>0</v>
      </c>
      <c r="U17" s="160">
        <f>F17-вересень!F17</f>
        <v>0</v>
      </c>
      <c r="V17" s="161">
        <f t="shared" si="9"/>
        <v>0</v>
      </c>
      <c r="W17" s="158"/>
      <c r="X17" s="104"/>
      <c r="Y17" s="100" t="e">
        <f>#N/A</f>
        <v>#N/A</v>
      </c>
    </row>
    <row r="18" spans="1:25" s="6" customFormat="1" ht="30.75">
      <c r="A18" s="8"/>
      <c r="B18" s="13" t="s">
        <v>117</v>
      </c>
      <c r="C18" s="43" t="s">
        <v>58</v>
      </c>
      <c r="D18" s="150">
        <v>125</v>
      </c>
      <c r="E18" s="150">
        <v>90</v>
      </c>
      <c r="F18" s="156">
        <v>147.46</v>
      </c>
      <c r="G18" s="150">
        <f t="shared" si="7"/>
        <v>57.46000000000001</v>
      </c>
      <c r="H18" s="157">
        <f>F18/E18*100</f>
        <v>163.84444444444446</v>
      </c>
      <c r="I18" s="158">
        <f t="shared" si="0"/>
        <v>22.460000000000008</v>
      </c>
      <c r="J18" s="158">
        <f t="shared" si="1"/>
        <v>117.968</v>
      </c>
      <c r="K18" s="158"/>
      <c r="L18" s="158"/>
      <c r="M18" s="158"/>
      <c r="N18" s="158">
        <v>124.7</v>
      </c>
      <c r="O18" s="158">
        <f t="shared" si="2"/>
        <v>0.29999999999999716</v>
      </c>
      <c r="P18" s="210">
        <f t="shared" si="3"/>
        <v>1.0024057738572574</v>
      </c>
      <c r="Q18" s="161">
        <v>105.8</v>
      </c>
      <c r="R18" s="161">
        <f t="shared" si="4"/>
        <v>41.66000000000001</v>
      </c>
      <c r="S18" s="208">
        <f t="shared" si="5"/>
        <v>1.3937618147448017</v>
      </c>
      <c r="T18" s="157">
        <f>E18-вересень!E18</f>
        <v>0</v>
      </c>
      <c r="U18" s="160">
        <f>F18-вересень!F18</f>
        <v>0</v>
      </c>
      <c r="V18" s="161">
        <f t="shared" si="9"/>
        <v>0</v>
      </c>
      <c r="W18" s="158" t="e">
        <f aca="true" t="shared" si="10" ref="W18:W35">U18/T18*100</f>
        <v>#DIV/0!</v>
      </c>
      <c r="X18" s="37">
        <v>0</v>
      </c>
      <c r="Y18" s="100" t="e">
        <f>#N/A</f>
        <v>#N/A</v>
      </c>
    </row>
    <row r="19" spans="1:25" s="6" customFormat="1" ht="18">
      <c r="A19" s="8"/>
      <c r="B19" s="13" t="s">
        <v>172</v>
      </c>
      <c r="C19" s="43"/>
      <c r="D19" s="150">
        <f>D20+D21+D22</f>
        <v>130000</v>
      </c>
      <c r="E19" s="150">
        <f>E20+E21+E22</f>
        <v>106800</v>
      </c>
      <c r="F19" s="223">
        <v>100208.61</v>
      </c>
      <c r="G19" s="150">
        <f t="shared" si="7"/>
        <v>-6591.389999999999</v>
      </c>
      <c r="H19" s="157">
        <f aca="true" t="shared" si="11" ref="H19:H39">F19/E19*100</f>
        <v>93.82828651685394</v>
      </c>
      <c r="I19" s="158">
        <f t="shared" si="0"/>
        <v>-29791.39</v>
      </c>
      <c r="J19" s="158">
        <f t="shared" si="1"/>
        <v>77.08354615384614</v>
      </c>
      <c r="K19" s="158"/>
      <c r="L19" s="158"/>
      <c r="M19" s="158"/>
      <c r="N19" s="158">
        <v>101799.72</v>
      </c>
      <c r="O19" s="158">
        <f t="shared" si="2"/>
        <v>28200.28</v>
      </c>
      <c r="P19" s="210">
        <f t="shared" si="3"/>
        <v>1.2770172648804927</v>
      </c>
      <c r="Q19" s="161">
        <v>83630.43</v>
      </c>
      <c r="R19" s="161">
        <f t="shared" si="4"/>
        <v>16578.180000000008</v>
      </c>
      <c r="S19" s="208">
        <f t="shared" si="5"/>
        <v>1.1982314332235289</v>
      </c>
      <c r="T19" s="157">
        <f>E19-вересень!E19</f>
        <v>12000</v>
      </c>
      <c r="U19" s="160">
        <f>F19-вересень!F19</f>
        <v>30077.160000000003</v>
      </c>
      <c r="V19" s="161">
        <f t="shared" si="9"/>
        <v>18077.160000000003</v>
      </c>
      <c r="W19" s="158">
        <f t="shared" si="10"/>
        <v>250.64300000000003</v>
      </c>
      <c r="X19" s="294">
        <v>8800</v>
      </c>
      <c r="Y19" s="100" t="e">
        <f>#N/A</f>
        <v>#N/A</v>
      </c>
    </row>
    <row r="20" spans="1:25" s="6" customFormat="1" ht="61.5">
      <c r="A20" s="8"/>
      <c r="B20" s="252" t="s">
        <v>205</v>
      </c>
      <c r="C20" s="123">
        <v>14040000</v>
      </c>
      <c r="D20" s="253">
        <v>76500</v>
      </c>
      <c r="E20" s="253">
        <v>63300</v>
      </c>
      <c r="F20" s="201">
        <v>51924.5</v>
      </c>
      <c r="G20" s="253">
        <f t="shared" si="7"/>
        <v>-11375.5</v>
      </c>
      <c r="H20" s="195">
        <f t="shared" si="11"/>
        <v>82.02922590837282</v>
      </c>
      <c r="I20" s="254">
        <f t="shared" si="0"/>
        <v>-24575.5</v>
      </c>
      <c r="J20" s="254">
        <f t="shared" si="1"/>
        <v>67.8751633986928</v>
      </c>
      <c r="K20" s="254"/>
      <c r="L20" s="254"/>
      <c r="M20" s="254"/>
      <c r="N20" s="254">
        <v>101799.72</v>
      </c>
      <c r="O20" s="254">
        <f t="shared" si="2"/>
        <v>-25299.72</v>
      </c>
      <c r="P20" s="305">
        <f t="shared" si="3"/>
        <v>0.7514755443335207</v>
      </c>
      <c r="Q20" s="166">
        <v>83630.43</v>
      </c>
      <c r="R20" s="166">
        <f t="shared" si="4"/>
        <v>-31705.929999999993</v>
      </c>
      <c r="S20" s="256">
        <f t="shared" si="5"/>
        <v>0.6208804618127637</v>
      </c>
      <c r="T20" s="195">
        <f>E20-вересень!E20</f>
        <v>7050</v>
      </c>
      <c r="U20" s="179">
        <f>F20-вересень!F20</f>
        <v>4845.419999999998</v>
      </c>
      <c r="V20" s="166">
        <f t="shared" si="9"/>
        <v>-2204.5800000000017</v>
      </c>
      <c r="W20" s="254">
        <f t="shared" si="10"/>
        <v>68.72936170212763</v>
      </c>
      <c r="X20" s="104">
        <v>4450</v>
      </c>
      <c r="Y20" s="104" t="e">
        <f>#N/A</f>
        <v>#N/A</v>
      </c>
    </row>
    <row r="21" spans="1:25" s="6" customFormat="1" ht="18">
      <c r="A21" s="8"/>
      <c r="B21" s="252" t="s">
        <v>170</v>
      </c>
      <c r="C21" s="123">
        <v>14021900</v>
      </c>
      <c r="D21" s="253">
        <v>10700</v>
      </c>
      <c r="E21" s="253">
        <v>8700</v>
      </c>
      <c r="F21" s="201">
        <v>10012.16</v>
      </c>
      <c r="G21" s="253">
        <f t="shared" si="7"/>
        <v>1312.1599999999999</v>
      </c>
      <c r="H21" s="195">
        <f t="shared" si="11"/>
        <v>115.0822988505747</v>
      </c>
      <c r="I21" s="254">
        <f t="shared" si="0"/>
        <v>-687.8400000000001</v>
      </c>
      <c r="J21" s="254">
        <f t="shared" si="1"/>
        <v>93.57158878504673</v>
      </c>
      <c r="K21" s="254"/>
      <c r="L21" s="254"/>
      <c r="M21" s="254"/>
      <c r="N21" s="254"/>
      <c r="O21" s="254"/>
      <c r="P21" s="305"/>
      <c r="Q21" s="255">
        <v>0</v>
      </c>
      <c r="R21" s="166">
        <f t="shared" si="4"/>
        <v>10012.16</v>
      </c>
      <c r="S21" s="256"/>
      <c r="T21" s="195">
        <f>E21-вересень!E21</f>
        <v>950</v>
      </c>
      <c r="U21" s="179">
        <f>F21-вересень!F21</f>
        <v>5069.84</v>
      </c>
      <c r="V21" s="166">
        <f t="shared" si="9"/>
        <v>4119.84</v>
      </c>
      <c r="W21" s="254">
        <f t="shared" si="10"/>
        <v>533.6673684210526</v>
      </c>
      <c r="X21" s="104">
        <v>900</v>
      </c>
      <c r="Y21" s="104" t="e">
        <f>#N/A</f>
        <v>#N/A</v>
      </c>
    </row>
    <row r="22" spans="1:25" s="6" customFormat="1" ht="18">
      <c r="A22" s="8"/>
      <c r="B22" s="252" t="s">
        <v>171</v>
      </c>
      <c r="C22" s="123">
        <v>14031900</v>
      </c>
      <c r="D22" s="253">
        <v>42800</v>
      </c>
      <c r="E22" s="253">
        <v>34800</v>
      </c>
      <c r="F22" s="201">
        <v>38271.95</v>
      </c>
      <c r="G22" s="253">
        <f t="shared" si="7"/>
        <v>3471.949999999997</v>
      </c>
      <c r="H22" s="195">
        <f t="shared" si="11"/>
        <v>109.97686781609195</v>
      </c>
      <c r="I22" s="254">
        <f t="shared" si="0"/>
        <v>-4528.050000000003</v>
      </c>
      <c r="J22" s="254">
        <f t="shared" si="1"/>
        <v>89.42044392523364</v>
      </c>
      <c r="K22" s="254"/>
      <c r="L22" s="254"/>
      <c r="M22" s="254"/>
      <c r="N22" s="254"/>
      <c r="O22" s="254"/>
      <c r="P22" s="305"/>
      <c r="Q22" s="255">
        <v>0</v>
      </c>
      <c r="R22" s="166">
        <f t="shared" si="4"/>
        <v>38271.95</v>
      </c>
      <c r="S22" s="256"/>
      <c r="T22" s="195">
        <f>E22-вересень!E22</f>
        <v>4000</v>
      </c>
      <c r="U22" s="179">
        <f>F22-вересень!F22</f>
        <v>20161.899999999998</v>
      </c>
      <c r="V22" s="166">
        <f t="shared" si="9"/>
        <v>16161.899999999998</v>
      </c>
      <c r="W22" s="254">
        <f t="shared" si="10"/>
        <v>504.04749999999996</v>
      </c>
      <c r="X22" s="104">
        <v>3800</v>
      </c>
      <c r="Y22" s="104" t="e">
        <f>#N/A</f>
        <v>#N/A</v>
      </c>
    </row>
    <row r="23" spans="1:25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343563.6</v>
      </c>
      <c r="F23" s="223">
        <v>356876.3</v>
      </c>
      <c r="G23" s="150">
        <f t="shared" si="7"/>
        <v>13312.700000000012</v>
      </c>
      <c r="H23" s="157">
        <f t="shared" si="11"/>
        <v>103.87488662943338</v>
      </c>
      <c r="I23" s="158">
        <f t="shared" si="0"/>
        <v>-44253.79999999999</v>
      </c>
      <c r="J23" s="158">
        <f t="shared" si="1"/>
        <v>88.96771895203076</v>
      </c>
      <c r="K23" s="158"/>
      <c r="L23" s="158"/>
      <c r="M23" s="158"/>
      <c r="N23" s="158">
        <v>340503.51</v>
      </c>
      <c r="O23" s="158">
        <f aca="true" t="shared" si="12" ref="O23:O39">D23-N23</f>
        <v>60626.58999999997</v>
      </c>
      <c r="P23" s="210">
        <f aca="true" t="shared" si="13" ref="P23:P39">D23/N23</f>
        <v>1.1780498239210515</v>
      </c>
      <c r="Q23" s="158">
        <v>282212.74</v>
      </c>
      <c r="R23" s="161">
        <f t="shared" si="4"/>
        <v>74663.56</v>
      </c>
      <c r="S23" s="209">
        <f aca="true" t="shared" si="14" ref="S23:S31">F23/Q23</f>
        <v>1.2645648102208285</v>
      </c>
      <c r="T23" s="157">
        <f>E23-вересень!E23</f>
        <v>39413</v>
      </c>
      <c r="U23" s="160">
        <f>F23-вересень!F23</f>
        <v>41232.21999999997</v>
      </c>
      <c r="V23" s="161">
        <f t="shared" si="9"/>
        <v>1819.219999999972</v>
      </c>
      <c r="W23" s="158">
        <f t="shared" si="10"/>
        <v>104.61578666937297</v>
      </c>
      <c r="X23" s="288">
        <f>X24+X33+X35</f>
        <v>22714</v>
      </c>
      <c r="Y23" s="294" t="e">
        <f>#N/A</f>
        <v>#N/A</v>
      </c>
    </row>
    <row r="24" spans="1:25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174416.1</v>
      </c>
      <c r="F24" s="223">
        <f>F25+F28+F29</f>
        <v>175926.68999999997</v>
      </c>
      <c r="G24" s="150">
        <f t="shared" si="7"/>
        <v>1510.5899999999674</v>
      </c>
      <c r="H24" s="157">
        <f t="shared" si="11"/>
        <v>100.86608403696675</v>
      </c>
      <c r="I24" s="158">
        <f t="shared" si="0"/>
        <v>-30694.310000000027</v>
      </c>
      <c r="J24" s="158">
        <f t="shared" si="1"/>
        <v>85.14463195899738</v>
      </c>
      <c r="K24" s="158"/>
      <c r="L24" s="158"/>
      <c r="M24" s="158"/>
      <c r="N24" s="158">
        <v>182295.05</v>
      </c>
      <c r="O24" s="158">
        <f t="shared" si="12"/>
        <v>24325.95000000001</v>
      </c>
      <c r="P24" s="210">
        <f t="shared" si="13"/>
        <v>1.1334427347314149</v>
      </c>
      <c r="Q24" s="158">
        <v>153656.31</v>
      </c>
      <c r="R24" s="161">
        <f t="shared" si="4"/>
        <v>22270.379999999976</v>
      </c>
      <c r="S24" s="209">
        <f t="shared" si="14"/>
        <v>1.144936319243902</v>
      </c>
      <c r="T24" s="157">
        <f>E24-вересень!E24</f>
        <v>20257.20000000001</v>
      </c>
      <c r="U24" s="160">
        <f>F24-вересень!F24</f>
        <v>19399.909999999974</v>
      </c>
      <c r="V24" s="161">
        <f t="shared" si="9"/>
        <v>-857.2900000000373</v>
      </c>
      <c r="W24" s="158">
        <f t="shared" si="10"/>
        <v>95.76797385620897</v>
      </c>
      <c r="X24" s="293">
        <f>X25+X28+X29</f>
        <v>15007</v>
      </c>
      <c r="Y24" s="293" t="e">
        <f>#N/A</f>
        <v>#N/A</v>
      </c>
    </row>
    <row r="25" spans="1:25" s="6" customFormat="1" ht="19.5" customHeight="1">
      <c r="A25" s="8"/>
      <c r="B25" s="50" t="s">
        <v>74</v>
      </c>
      <c r="C25" s="123"/>
      <c r="D25" s="253">
        <v>22809</v>
      </c>
      <c r="E25" s="303">
        <v>21859.1</v>
      </c>
      <c r="F25" s="201">
        <v>23599.19</v>
      </c>
      <c r="G25" s="253">
        <f t="shared" si="7"/>
        <v>1740.0900000000001</v>
      </c>
      <c r="H25" s="195">
        <f t="shared" si="11"/>
        <v>107.96048327698762</v>
      </c>
      <c r="I25" s="254">
        <f t="shared" si="0"/>
        <v>790.1899999999987</v>
      </c>
      <c r="J25" s="254">
        <f t="shared" si="1"/>
        <v>103.46437809636546</v>
      </c>
      <c r="K25" s="254"/>
      <c r="L25" s="254"/>
      <c r="M25" s="254"/>
      <c r="N25" s="254">
        <v>21482.16</v>
      </c>
      <c r="O25" s="254">
        <f t="shared" si="12"/>
        <v>1326.8400000000001</v>
      </c>
      <c r="P25" s="305">
        <f t="shared" si="13"/>
        <v>1.0617647387413556</v>
      </c>
      <c r="Q25" s="304">
        <v>20221.39</v>
      </c>
      <c r="R25" s="166">
        <f t="shared" si="4"/>
        <v>3377.7999999999993</v>
      </c>
      <c r="S25" s="215">
        <f t="shared" si="14"/>
        <v>1.167040940311225</v>
      </c>
      <c r="T25" s="195">
        <f>E25-вересень!E25</f>
        <v>4600</v>
      </c>
      <c r="U25" s="179">
        <f>F25-вересень!F25</f>
        <v>4960.289999999997</v>
      </c>
      <c r="V25" s="166">
        <f t="shared" si="9"/>
        <v>360.28999999999724</v>
      </c>
      <c r="W25" s="254">
        <f t="shared" si="10"/>
        <v>107.83239130434777</v>
      </c>
      <c r="X25" s="104">
        <v>800</v>
      </c>
      <c r="Y25" s="104" t="e">
        <f>#N/A</f>
        <v>#N/A</v>
      </c>
    </row>
    <row r="26" spans="1:25" s="6" customFormat="1" ht="18" customHeight="1" hidden="1">
      <c r="A26" s="8"/>
      <c r="B26" s="196" t="s">
        <v>109</v>
      </c>
      <c r="C26" s="197"/>
      <c r="D26" s="198">
        <v>1822.3</v>
      </c>
      <c r="E26" s="298">
        <v>1712.3</v>
      </c>
      <c r="F26" s="199">
        <v>1252.32</v>
      </c>
      <c r="G26" s="223">
        <f t="shared" si="7"/>
        <v>-459.98</v>
      </c>
      <c r="H26" s="237">
        <f t="shared" si="11"/>
        <v>73.13671669684051</v>
      </c>
      <c r="I26" s="299">
        <f t="shared" si="0"/>
        <v>-569.98</v>
      </c>
      <c r="J26" s="299">
        <f t="shared" si="1"/>
        <v>68.72194479503924</v>
      </c>
      <c r="K26" s="299"/>
      <c r="L26" s="299"/>
      <c r="M26" s="299"/>
      <c r="N26" s="299">
        <v>842.7</v>
      </c>
      <c r="O26" s="299">
        <f t="shared" si="12"/>
        <v>979.5999999999999</v>
      </c>
      <c r="P26" s="341">
        <f t="shared" si="13"/>
        <v>2.162454016850599</v>
      </c>
      <c r="Q26" s="200">
        <v>795.54</v>
      </c>
      <c r="R26" s="200">
        <f>Q26-F26</f>
        <v>-456.78</v>
      </c>
      <c r="S26" s="228">
        <f t="shared" si="14"/>
        <v>1.5741760313749151</v>
      </c>
      <c r="T26" s="237">
        <f>E26-вересень!E26</f>
        <v>342.29999999999995</v>
      </c>
      <c r="U26" s="237">
        <f>F26-вересень!F26</f>
        <v>205.38999999999987</v>
      </c>
      <c r="V26" s="299">
        <f t="shared" si="9"/>
        <v>-136.91000000000008</v>
      </c>
      <c r="W26" s="299">
        <f t="shared" si="10"/>
        <v>60.00292141396433</v>
      </c>
      <c r="X26" s="104"/>
      <c r="Y26" s="104" t="e">
        <f>#N/A</f>
        <v>#N/A</v>
      </c>
    </row>
    <row r="27" spans="1:25" s="6" customFormat="1" ht="18" customHeight="1" hidden="1">
      <c r="A27" s="8"/>
      <c r="B27" s="196" t="s">
        <v>110</v>
      </c>
      <c r="C27" s="197"/>
      <c r="D27" s="198">
        <v>20986.7</v>
      </c>
      <c r="E27" s="298">
        <v>20146.8</v>
      </c>
      <c r="F27" s="199">
        <v>22346.88</v>
      </c>
      <c r="G27" s="223">
        <f t="shared" si="7"/>
        <v>2200.0800000000017</v>
      </c>
      <c r="H27" s="237">
        <f t="shared" si="11"/>
        <v>110.920245398773</v>
      </c>
      <c r="I27" s="299">
        <f t="shared" si="0"/>
        <v>1360.1800000000003</v>
      </c>
      <c r="J27" s="299">
        <f t="shared" si="1"/>
        <v>106.48115234886856</v>
      </c>
      <c r="K27" s="299"/>
      <c r="L27" s="299"/>
      <c r="M27" s="299"/>
      <c r="N27" s="299">
        <v>20639.46</v>
      </c>
      <c r="O27" s="299">
        <f t="shared" si="12"/>
        <v>347.2400000000016</v>
      </c>
      <c r="P27" s="341">
        <f t="shared" si="13"/>
        <v>1.01682408357583</v>
      </c>
      <c r="Q27" s="200">
        <v>19425.85</v>
      </c>
      <c r="R27" s="200">
        <f>Q27-F27</f>
        <v>-2921.0300000000025</v>
      </c>
      <c r="S27" s="228">
        <f t="shared" si="14"/>
        <v>1.1503681949567202</v>
      </c>
      <c r="T27" s="237">
        <f>E27-вересень!E27</f>
        <v>4257.699999999999</v>
      </c>
      <c r="U27" s="237">
        <f>F27-вересень!F27</f>
        <v>4754.91</v>
      </c>
      <c r="V27" s="299">
        <f t="shared" si="9"/>
        <v>497.21000000000095</v>
      </c>
      <c r="W27" s="299">
        <f t="shared" si="10"/>
        <v>111.67790121427063</v>
      </c>
      <c r="X27" s="104"/>
      <c r="Y27" s="104" t="e">
        <f>#N/A</f>
        <v>#N/A</v>
      </c>
    </row>
    <row r="28" spans="1:25" s="6" customFormat="1" ht="18">
      <c r="A28" s="8"/>
      <c r="B28" s="50" t="s">
        <v>75</v>
      </c>
      <c r="C28" s="123"/>
      <c r="D28" s="171">
        <v>820</v>
      </c>
      <c r="E28" s="297">
        <v>640</v>
      </c>
      <c r="F28" s="172">
        <v>252.67</v>
      </c>
      <c r="G28" s="253">
        <f t="shared" si="7"/>
        <v>-387.33000000000004</v>
      </c>
      <c r="H28" s="195">
        <f t="shared" si="11"/>
        <v>39.4796875</v>
      </c>
      <c r="I28" s="254">
        <f t="shared" si="0"/>
        <v>-567.33</v>
      </c>
      <c r="J28" s="254">
        <f t="shared" si="1"/>
        <v>30.81341463414634</v>
      </c>
      <c r="K28" s="254"/>
      <c r="L28" s="254"/>
      <c r="M28" s="254"/>
      <c r="N28" s="254">
        <v>701.85</v>
      </c>
      <c r="O28" s="254">
        <f t="shared" si="12"/>
        <v>118.14999999999998</v>
      </c>
      <c r="P28" s="305">
        <f t="shared" si="13"/>
        <v>1.1683408135641518</v>
      </c>
      <c r="Q28" s="174">
        <v>810.29</v>
      </c>
      <c r="R28" s="174">
        <f aca="true" t="shared" si="15" ref="R28:R66">F28-Q28</f>
        <v>-557.62</v>
      </c>
      <c r="S28" s="212">
        <f t="shared" si="14"/>
        <v>0.31182662997198535</v>
      </c>
      <c r="T28" s="195">
        <f>E28-вересень!E28</f>
        <v>173.2</v>
      </c>
      <c r="U28" s="179">
        <f>F28-вересень!F28</f>
        <v>166.02999999999997</v>
      </c>
      <c r="V28" s="166">
        <f t="shared" si="9"/>
        <v>-7.170000000000016</v>
      </c>
      <c r="W28" s="254">
        <f t="shared" si="10"/>
        <v>95.86027713625866</v>
      </c>
      <c r="X28" s="104">
        <v>-25</v>
      </c>
      <c r="Y28" s="104" t="e">
        <f>#N/A</f>
        <v>#N/A</v>
      </c>
    </row>
    <row r="29" spans="1:25" s="6" customFormat="1" ht="18">
      <c r="A29" s="8"/>
      <c r="B29" s="50" t="s">
        <v>76</v>
      </c>
      <c r="C29" s="123"/>
      <c r="D29" s="171">
        <v>182992</v>
      </c>
      <c r="E29" s="297">
        <v>151917</v>
      </c>
      <c r="F29" s="172">
        <v>152074.83</v>
      </c>
      <c r="G29" s="150">
        <f t="shared" si="7"/>
        <v>157.8299999999872</v>
      </c>
      <c r="H29" s="195">
        <f t="shared" si="11"/>
        <v>100.10389225695609</v>
      </c>
      <c r="I29" s="254">
        <f t="shared" si="0"/>
        <v>-30917.170000000013</v>
      </c>
      <c r="J29" s="254">
        <f t="shared" si="1"/>
        <v>83.1046329894203</v>
      </c>
      <c r="K29" s="254"/>
      <c r="L29" s="254"/>
      <c r="M29" s="254"/>
      <c r="N29" s="254">
        <v>160111.04</v>
      </c>
      <c r="O29" s="254">
        <f t="shared" si="12"/>
        <v>22880.959999999992</v>
      </c>
      <c r="P29" s="305">
        <f t="shared" si="13"/>
        <v>1.1429068226650705</v>
      </c>
      <c r="Q29" s="175">
        <v>132624.64</v>
      </c>
      <c r="R29" s="175">
        <f t="shared" si="15"/>
        <v>19450.189999999973</v>
      </c>
      <c r="S29" s="211">
        <f t="shared" si="14"/>
        <v>1.1466559306023374</v>
      </c>
      <c r="T29" s="195">
        <f>E29-вересень!E29</f>
        <v>15484</v>
      </c>
      <c r="U29" s="179">
        <f>F29-вересень!F29</f>
        <v>14273.589999999997</v>
      </c>
      <c r="V29" s="166">
        <f t="shared" si="9"/>
        <v>-1210.4100000000035</v>
      </c>
      <c r="W29" s="254">
        <f t="shared" si="10"/>
        <v>92.18283389305087</v>
      </c>
      <c r="X29" s="104">
        <v>14232</v>
      </c>
      <c r="Y29" s="104" t="e">
        <f>#N/A</f>
        <v>#N/A</v>
      </c>
    </row>
    <row r="30" spans="1:25" s="6" customFormat="1" ht="18" customHeight="1" hidden="1">
      <c r="A30" s="8"/>
      <c r="B30" s="196" t="s">
        <v>111</v>
      </c>
      <c r="C30" s="197"/>
      <c r="D30" s="198">
        <v>57533</v>
      </c>
      <c r="E30" s="198">
        <v>47933</v>
      </c>
      <c r="F30" s="199">
        <v>49648.11</v>
      </c>
      <c r="G30" s="223">
        <f t="shared" si="7"/>
        <v>1715.1100000000006</v>
      </c>
      <c r="H30" s="237">
        <f t="shared" si="11"/>
        <v>103.57814032086455</v>
      </c>
      <c r="I30" s="299">
        <f t="shared" si="0"/>
        <v>-7884.889999999999</v>
      </c>
      <c r="J30" s="299">
        <f t="shared" si="1"/>
        <v>86.29501329671668</v>
      </c>
      <c r="K30" s="299"/>
      <c r="L30" s="299"/>
      <c r="M30" s="299"/>
      <c r="N30" s="299">
        <v>49911.97</v>
      </c>
      <c r="O30" s="299">
        <f t="shared" si="12"/>
        <v>7621.029999999999</v>
      </c>
      <c r="P30" s="341">
        <f t="shared" si="13"/>
        <v>1.152689425001658</v>
      </c>
      <c r="Q30" s="200">
        <v>42006.28</v>
      </c>
      <c r="R30" s="200">
        <f t="shared" si="15"/>
        <v>7641.830000000002</v>
      </c>
      <c r="S30" s="228">
        <f t="shared" si="14"/>
        <v>1.1819211317926748</v>
      </c>
      <c r="T30" s="237">
        <f>E30-вересень!E30</f>
        <v>4800</v>
      </c>
      <c r="U30" s="237">
        <f>F30-вересень!F30</f>
        <v>4539.120000000003</v>
      </c>
      <c r="V30" s="299">
        <f t="shared" si="9"/>
        <v>-260.8799999999974</v>
      </c>
      <c r="W30" s="299">
        <f t="shared" si="10"/>
        <v>94.56500000000005</v>
      </c>
      <c r="X30" s="107"/>
      <c r="Y30" s="100" t="e">
        <f>#N/A</f>
        <v>#N/A</v>
      </c>
    </row>
    <row r="31" spans="1:25" s="6" customFormat="1" ht="18" customHeight="1" hidden="1">
      <c r="A31" s="8"/>
      <c r="B31" s="196" t="s">
        <v>112</v>
      </c>
      <c r="C31" s="197"/>
      <c r="D31" s="198">
        <v>125459</v>
      </c>
      <c r="E31" s="198">
        <v>103984</v>
      </c>
      <c r="F31" s="199">
        <v>102426.72</v>
      </c>
      <c r="G31" s="223">
        <f t="shared" si="7"/>
        <v>-1557.2799999999988</v>
      </c>
      <c r="H31" s="237">
        <f t="shared" si="11"/>
        <v>98.50238498230497</v>
      </c>
      <c r="I31" s="299">
        <f t="shared" si="0"/>
        <v>-23032.28</v>
      </c>
      <c r="J31" s="299">
        <f t="shared" si="1"/>
        <v>81.64158808853888</v>
      </c>
      <c r="K31" s="299"/>
      <c r="L31" s="299"/>
      <c r="M31" s="299"/>
      <c r="N31" s="299">
        <v>110199.06</v>
      </c>
      <c r="O31" s="299">
        <f t="shared" si="12"/>
        <v>15259.940000000002</v>
      </c>
      <c r="P31" s="341">
        <f t="shared" si="13"/>
        <v>1.1384761358218483</v>
      </c>
      <c r="Q31" s="200">
        <v>90618.36</v>
      </c>
      <c r="R31" s="200">
        <f t="shared" si="15"/>
        <v>11808.36</v>
      </c>
      <c r="S31" s="228">
        <f t="shared" si="14"/>
        <v>1.130308692410677</v>
      </c>
      <c r="T31" s="237">
        <f>E31-вересень!E31</f>
        <v>10684</v>
      </c>
      <c r="U31" s="237">
        <f>F31-вересень!F31</f>
        <v>9734.479999999996</v>
      </c>
      <c r="V31" s="299">
        <f t="shared" si="9"/>
        <v>-949.5200000000041</v>
      </c>
      <c r="W31" s="299">
        <f t="shared" si="10"/>
        <v>91.11269187570194</v>
      </c>
      <c r="X31" s="107"/>
      <c r="Y31" s="100" t="e">
        <f>#N/A</f>
        <v>#N/A</v>
      </c>
    </row>
    <row r="32" spans="1:25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 t="shared" si="7"/>
        <v>0.2</v>
      </c>
      <c r="H32" s="157"/>
      <c r="I32" s="158">
        <f t="shared" si="0"/>
        <v>0.2</v>
      </c>
      <c r="J32" s="158"/>
      <c r="K32" s="158"/>
      <c r="L32" s="158"/>
      <c r="M32" s="158"/>
      <c r="N32" s="158">
        <v>0.15</v>
      </c>
      <c r="O32" s="158">
        <f t="shared" si="12"/>
        <v>-0.15</v>
      </c>
      <c r="P32" s="210">
        <f t="shared" si="13"/>
        <v>0</v>
      </c>
      <c r="Q32" s="167">
        <v>0.15</v>
      </c>
      <c r="R32" s="158">
        <f t="shared" si="15"/>
        <v>0.05000000000000002</v>
      </c>
      <c r="S32" s="210"/>
      <c r="T32" s="157">
        <f>E32-вересень!E32</f>
        <v>0</v>
      </c>
      <c r="U32" s="160">
        <f>F32-вересень!F32</f>
        <v>0</v>
      </c>
      <c r="V32" s="161">
        <f t="shared" si="9"/>
        <v>0</v>
      </c>
      <c r="W32" s="158"/>
      <c r="X32" s="293"/>
      <c r="Y32" s="293" t="e">
        <f>#N/A</f>
        <v>#N/A</v>
      </c>
    </row>
    <row r="33" spans="1:25" s="6" customFormat="1" ht="18">
      <c r="A33" s="8"/>
      <c r="B33" s="44" t="s">
        <v>82</v>
      </c>
      <c r="C33" s="114">
        <v>18030000</v>
      </c>
      <c r="D33" s="150">
        <v>115</v>
      </c>
      <c r="E33" s="150">
        <v>92.5</v>
      </c>
      <c r="F33" s="156">
        <v>134.36</v>
      </c>
      <c r="G33" s="150">
        <f t="shared" si="7"/>
        <v>41.860000000000014</v>
      </c>
      <c r="H33" s="157">
        <f t="shared" si="11"/>
        <v>145.25405405405408</v>
      </c>
      <c r="I33" s="158">
        <f t="shared" si="0"/>
        <v>19.360000000000014</v>
      </c>
      <c r="J33" s="158">
        <f t="shared" si="1"/>
        <v>116.83478260869566</v>
      </c>
      <c r="K33" s="158"/>
      <c r="L33" s="158"/>
      <c r="M33" s="158"/>
      <c r="N33" s="158">
        <v>117.68</v>
      </c>
      <c r="O33" s="158">
        <f t="shared" si="12"/>
        <v>-2.680000000000007</v>
      </c>
      <c r="P33" s="210">
        <f t="shared" si="13"/>
        <v>0.9772263766145479</v>
      </c>
      <c r="Q33" s="158">
        <v>96.18</v>
      </c>
      <c r="R33" s="158">
        <f t="shared" si="15"/>
        <v>38.18000000000001</v>
      </c>
      <c r="S33" s="210">
        <f aca="true" t="shared" si="16" ref="S33:S39">F33/Q33</f>
        <v>1.3969640257849865</v>
      </c>
      <c r="T33" s="157">
        <f>E33-вересень!E33</f>
        <v>13.5</v>
      </c>
      <c r="U33" s="160">
        <f>F33-вересень!F33</f>
        <v>18.30000000000001</v>
      </c>
      <c r="V33" s="161">
        <f t="shared" si="9"/>
        <v>4.800000000000011</v>
      </c>
      <c r="W33" s="158">
        <f t="shared" si="10"/>
        <v>135.55555555555563</v>
      </c>
      <c r="X33" s="293">
        <v>7</v>
      </c>
      <c r="Y33" s="293" t="e">
        <f>#N/A</f>
        <v>#N/A</v>
      </c>
    </row>
    <row r="34" spans="1:25" s="6" customFormat="1" ht="30.75">
      <c r="A34" s="8"/>
      <c r="B34" s="225" t="s">
        <v>83</v>
      </c>
      <c r="C34" s="114">
        <v>18040000</v>
      </c>
      <c r="D34" s="150"/>
      <c r="E34" s="150"/>
      <c r="F34" s="156">
        <v>-43.46</v>
      </c>
      <c r="G34" s="150">
        <f t="shared" si="7"/>
        <v>-43.46</v>
      </c>
      <c r="H34" s="157"/>
      <c r="I34" s="158">
        <f t="shared" si="0"/>
        <v>-43.46</v>
      </c>
      <c r="J34" s="158"/>
      <c r="K34" s="158"/>
      <c r="L34" s="158"/>
      <c r="M34" s="158"/>
      <c r="N34" s="158">
        <v>-177.97</v>
      </c>
      <c r="O34" s="158">
        <f t="shared" si="12"/>
        <v>177.97</v>
      </c>
      <c r="P34" s="210">
        <f t="shared" si="13"/>
        <v>0</v>
      </c>
      <c r="Q34" s="158">
        <v>-173.07</v>
      </c>
      <c r="R34" s="158">
        <f t="shared" si="15"/>
        <v>129.60999999999999</v>
      </c>
      <c r="S34" s="210">
        <f t="shared" si="16"/>
        <v>0.2511122667128908</v>
      </c>
      <c r="T34" s="157">
        <f>E34-вересень!E34</f>
        <v>0</v>
      </c>
      <c r="U34" s="160">
        <f>F34-вересень!F34</f>
        <v>-0.3400000000000034</v>
      </c>
      <c r="V34" s="161">
        <f t="shared" si="9"/>
        <v>-0.3400000000000034</v>
      </c>
      <c r="W34" s="158"/>
      <c r="X34" s="293"/>
      <c r="Y34" s="293" t="e">
        <f>#N/A</f>
        <v>#N/A</v>
      </c>
    </row>
    <row r="35" spans="1:25" s="6" customFormat="1" ht="18">
      <c r="A35" s="8"/>
      <c r="B35" s="44" t="s">
        <v>84</v>
      </c>
      <c r="C35" s="114">
        <v>18050000</v>
      </c>
      <c r="D35" s="162">
        <v>194394.1</v>
      </c>
      <c r="E35" s="162">
        <v>169055</v>
      </c>
      <c r="F35" s="163">
        <v>180858.51</v>
      </c>
      <c r="G35" s="150">
        <f t="shared" si="7"/>
        <v>11803.51000000001</v>
      </c>
      <c r="H35" s="157">
        <f t="shared" si="11"/>
        <v>106.98205317795984</v>
      </c>
      <c r="I35" s="158">
        <f t="shared" si="0"/>
        <v>-13535.589999999997</v>
      </c>
      <c r="J35" s="158">
        <f t="shared" si="1"/>
        <v>93.0370366178809</v>
      </c>
      <c r="K35" s="158"/>
      <c r="L35" s="158"/>
      <c r="M35" s="158"/>
      <c r="N35" s="158">
        <v>158268.6</v>
      </c>
      <c r="O35" s="158">
        <f t="shared" si="12"/>
        <v>36125.5</v>
      </c>
      <c r="P35" s="210">
        <f t="shared" si="13"/>
        <v>1.2282543726298205</v>
      </c>
      <c r="Q35" s="178">
        <v>128633.17</v>
      </c>
      <c r="R35" s="178">
        <f t="shared" si="15"/>
        <v>52225.34000000001</v>
      </c>
      <c r="S35" s="226">
        <f t="shared" si="16"/>
        <v>1.4060021221586936</v>
      </c>
      <c r="T35" s="157">
        <f>E35-вересень!E35</f>
        <v>19142.29999999999</v>
      </c>
      <c r="U35" s="160">
        <f>F35-вересень!F35</f>
        <v>21814.350000000006</v>
      </c>
      <c r="V35" s="161">
        <f t="shared" si="9"/>
        <v>2672.0500000000175</v>
      </c>
      <c r="W35" s="158">
        <f t="shared" si="10"/>
        <v>113.95887641505995</v>
      </c>
      <c r="X35" s="293">
        <v>7700</v>
      </c>
      <c r="Y35" s="293" t="e">
        <f>#N/A</f>
        <v>#N/A</v>
      </c>
    </row>
    <row r="36" spans="1:25" s="6" customFormat="1" ht="15" customHeight="1" hidden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0.01</v>
      </c>
      <c r="G36" s="103">
        <f>F36-E36</f>
        <v>0.01</v>
      </c>
      <c r="H36" s="105"/>
      <c r="I36" s="104">
        <f t="shared" si="0"/>
        <v>0.01</v>
      </c>
      <c r="J36" s="104"/>
      <c r="K36" s="104"/>
      <c r="L36" s="104"/>
      <c r="M36" s="104"/>
      <c r="N36" s="104">
        <v>0.23</v>
      </c>
      <c r="O36" s="104">
        <f t="shared" si="12"/>
        <v>-0.23</v>
      </c>
      <c r="P36" s="109">
        <f t="shared" si="13"/>
        <v>0</v>
      </c>
      <c r="Q36" s="127">
        <v>0.23</v>
      </c>
      <c r="R36" s="127">
        <f t="shared" si="15"/>
        <v>-0.22</v>
      </c>
      <c r="S36" s="216">
        <f t="shared" si="16"/>
        <v>0.043478260869565216</v>
      </c>
      <c r="T36" s="105">
        <f>E36-вересень!E36</f>
        <v>0</v>
      </c>
      <c r="U36" s="144">
        <f>F36-вересень!F36</f>
        <v>0</v>
      </c>
      <c r="V36" s="106">
        <f t="shared" si="9"/>
        <v>0</v>
      </c>
      <c r="W36" s="104"/>
      <c r="X36" s="107"/>
      <c r="Y36" s="107"/>
    </row>
    <row r="37" spans="1:25" s="6" customFormat="1" ht="15" customHeight="1" hidden="1">
      <c r="A37" s="8"/>
      <c r="B37" s="50" t="s">
        <v>91</v>
      </c>
      <c r="C37" s="102">
        <v>18050300</v>
      </c>
      <c r="D37" s="103">
        <v>41000</v>
      </c>
      <c r="E37" s="103">
        <v>34640</v>
      </c>
      <c r="F37" s="140">
        <v>34865.87</v>
      </c>
      <c r="G37" s="103">
        <f>F37-E37</f>
        <v>225.87000000000262</v>
      </c>
      <c r="H37" s="105">
        <f t="shared" si="11"/>
        <v>100.65204965357968</v>
      </c>
      <c r="I37" s="104">
        <f t="shared" si="0"/>
        <v>-6134.129999999997</v>
      </c>
      <c r="J37" s="104">
        <f t="shared" si="1"/>
        <v>85.03870731707318</v>
      </c>
      <c r="K37" s="104"/>
      <c r="L37" s="104"/>
      <c r="M37" s="104"/>
      <c r="N37" s="104">
        <v>39173.72</v>
      </c>
      <c r="O37" s="104">
        <f t="shared" si="12"/>
        <v>1826.2799999999988</v>
      </c>
      <c r="P37" s="109">
        <f t="shared" si="13"/>
        <v>1.0466200299588602</v>
      </c>
      <c r="Q37" s="127">
        <v>31576.04</v>
      </c>
      <c r="R37" s="127">
        <f t="shared" si="15"/>
        <v>3289.8300000000017</v>
      </c>
      <c r="S37" s="216">
        <f t="shared" si="16"/>
        <v>1.1041875421997185</v>
      </c>
      <c r="T37" s="105">
        <f>E37-вересень!E37</f>
        <v>4120</v>
      </c>
      <c r="U37" s="144">
        <f>F37-вересень!F37</f>
        <v>3827.890000000003</v>
      </c>
      <c r="V37" s="106">
        <f t="shared" si="9"/>
        <v>-292.10999999999694</v>
      </c>
      <c r="W37" s="104">
        <f>U37/T37*100</f>
        <v>92.90995145631075</v>
      </c>
      <c r="X37" s="107"/>
      <c r="Y37" s="107"/>
    </row>
    <row r="38" spans="1:25" s="6" customFormat="1" ht="15" customHeight="1" hidden="1">
      <c r="A38" s="8"/>
      <c r="B38" s="50" t="s">
        <v>92</v>
      </c>
      <c r="C38" s="102">
        <v>18050400</v>
      </c>
      <c r="D38" s="103">
        <v>153339.1</v>
      </c>
      <c r="E38" s="103">
        <v>134360</v>
      </c>
      <c r="F38" s="140">
        <v>145927.49</v>
      </c>
      <c r="G38" s="103">
        <f>F38-E38</f>
        <v>11567.48999999999</v>
      </c>
      <c r="H38" s="105">
        <f t="shared" si="11"/>
        <v>108.60932569217027</v>
      </c>
      <c r="I38" s="104">
        <f t="shared" si="0"/>
        <v>-7411.610000000015</v>
      </c>
      <c r="J38" s="104">
        <f t="shared" si="1"/>
        <v>95.16652308511006</v>
      </c>
      <c r="K38" s="104"/>
      <c r="L38" s="104"/>
      <c r="M38" s="104"/>
      <c r="N38" s="104">
        <v>119039.46</v>
      </c>
      <c r="O38" s="104">
        <f t="shared" si="12"/>
        <v>34299.64</v>
      </c>
      <c r="P38" s="109">
        <f t="shared" si="13"/>
        <v>1.2881367237384982</v>
      </c>
      <c r="Q38" s="127">
        <v>97003.82</v>
      </c>
      <c r="R38" s="127">
        <f t="shared" si="15"/>
        <v>48923.669999999984</v>
      </c>
      <c r="S38" s="216">
        <f t="shared" si="16"/>
        <v>1.5043478700117168</v>
      </c>
      <c r="T38" s="105">
        <f>E38-вересень!E38</f>
        <v>15000</v>
      </c>
      <c r="U38" s="144">
        <f>F38-вересень!F38</f>
        <v>17955.29999999999</v>
      </c>
      <c r="V38" s="106">
        <f t="shared" si="9"/>
        <v>2955.2999999999884</v>
      </c>
      <c r="W38" s="104">
        <f>U38/T38*100</f>
        <v>119.70199999999993</v>
      </c>
      <c r="X38" s="107"/>
      <c r="Y38" s="107"/>
    </row>
    <row r="39" spans="1:25" s="6" customFormat="1" ht="15" customHeight="1" hidden="1">
      <c r="A39" s="8"/>
      <c r="B39" s="50" t="s">
        <v>93</v>
      </c>
      <c r="C39" s="102">
        <v>18050500</v>
      </c>
      <c r="D39" s="103">
        <v>55</v>
      </c>
      <c r="E39" s="103">
        <v>55</v>
      </c>
      <c r="F39" s="140">
        <v>65.14</v>
      </c>
      <c r="G39" s="103">
        <f>F39-E39</f>
        <v>10.14</v>
      </c>
      <c r="H39" s="105">
        <f t="shared" si="11"/>
        <v>118.43636363636362</v>
      </c>
      <c r="I39" s="104">
        <f t="shared" si="0"/>
        <v>10.14</v>
      </c>
      <c r="J39" s="104">
        <f t="shared" si="1"/>
        <v>118.43636363636362</v>
      </c>
      <c r="K39" s="104"/>
      <c r="L39" s="104"/>
      <c r="M39" s="104"/>
      <c r="N39" s="104">
        <v>55.18</v>
      </c>
      <c r="O39" s="104">
        <f t="shared" si="12"/>
        <v>-0.17999999999999972</v>
      </c>
      <c r="P39" s="109">
        <f t="shared" si="13"/>
        <v>0.9967379485320769</v>
      </c>
      <c r="Q39" s="127">
        <v>53.08</v>
      </c>
      <c r="R39" s="127">
        <f t="shared" si="15"/>
        <v>12.060000000000002</v>
      </c>
      <c r="S39" s="216">
        <f t="shared" si="16"/>
        <v>1.227204220045215</v>
      </c>
      <c r="T39" s="105">
        <f>E39-вересень!E39</f>
        <v>22.299999999999997</v>
      </c>
      <c r="U39" s="144">
        <f>F39-вересень!F39</f>
        <v>31.160000000000004</v>
      </c>
      <c r="V39" s="106">
        <f t="shared" si="9"/>
        <v>8.860000000000007</v>
      </c>
      <c r="W39" s="104"/>
      <c r="X39" s="107"/>
      <c r="Y39" s="107"/>
    </row>
    <row r="40" spans="1:25" s="6" customFormat="1" ht="15" customHeight="1" hidden="1">
      <c r="A40" s="8"/>
      <c r="B40" s="232"/>
      <c r="C40" s="43"/>
      <c r="D40" s="34">
        <v>0</v>
      </c>
      <c r="E40" s="34">
        <v>0</v>
      </c>
      <c r="F40" s="290">
        <v>0</v>
      </c>
      <c r="G40" s="34">
        <f>F40-E40</f>
        <v>0</v>
      </c>
      <c r="H40" s="157"/>
      <c r="I40" s="119">
        <f t="shared" si="0"/>
        <v>0</v>
      </c>
      <c r="J40" s="37"/>
      <c r="K40" s="37"/>
      <c r="L40" s="37"/>
      <c r="M40" s="37"/>
      <c r="N40" s="37"/>
      <c r="O40" s="37"/>
      <c r="P40" s="94"/>
      <c r="Q40" s="119">
        <v>0</v>
      </c>
      <c r="R40" s="119">
        <f t="shared" si="15"/>
        <v>0</v>
      </c>
      <c r="S40" s="217"/>
      <c r="T40" s="137">
        <f>E40-вересень!E40</f>
        <v>0</v>
      </c>
      <c r="U40" s="145">
        <f>F40-вересень!F40</f>
        <v>0</v>
      </c>
      <c r="V40" s="161">
        <f t="shared" si="9"/>
        <v>0</v>
      </c>
      <c r="W40" s="37"/>
      <c r="X40" s="107"/>
      <c r="Y40" s="107"/>
    </row>
    <row r="41" spans="1:25" s="6" customFormat="1" ht="17.25">
      <c r="A41" s="7"/>
      <c r="B41" s="16" t="s">
        <v>12</v>
      </c>
      <c r="C41" s="70">
        <v>20000000</v>
      </c>
      <c r="D41" s="151">
        <f>D42+D43+D44+D45+D46+D48+D50+D51+D52+D53+D54+D59+D60+D64+D47+D49</f>
        <v>59025</v>
      </c>
      <c r="E41" s="151">
        <f>E42+E43+E44+E45+E46+E48+E50+E51+E52+E53+E54+E59+E60+E64+E47+E49</f>
        <v>50214.1</v>
      </c>
      <c r="F41" s="151">
        <f>F42+F43+F44+F45+F46+F48+F50+F51+F52+F53+F54+F59+F60+F64+F47+F49</f>
        <v>56190.82</v>
      </c>
      <c r="G41" s="151">
        <f>G42+G43+G44+G45+G46+G48+G50+G51+G52+G53+G54+G59+G60+G64+G47+G49</f>
        <v>5976.719999999999</v>
      </c>
      <c r="H41" s="151">
        <f>F41/E41*100</f>
        <v>111.90247360801051</v>
      </c>
      <c r="I41" s="153">
        <f>F41-D41</f>
        <v>-2834.1800000000003</v>
      </c>
      <c r="J41" s="153">
        <f>F41/D41*100</f>
        <v>95.19833968657349</v>
      </c>
      <c r="K41" s="153"/>
      <c r="L41" s="153"/>
      <c r="M41" s="153"/>
      <c r="N41" s="153">
        <v>68752.68</v>
      </c>
      <c r="O41" s="153">
        <f>D41-N41</f>
        <v>-9727.679999999993</v>
      </c>
      <c r="P41" s="219">
        <f>D41/N41</f>
        <v>0.8585119881872242</v>
      </c>
      <c r="Q41" s="287">
        <v>55017.73</v>
      </c>
      <c r="R41" s="151">
        <f t="shared" si="15"/>
        <v>1173.0899999999965</v>
      </c>
      <c r="S41" s="205">
        <f>F41/Q41</f>
        <v>1.0213220356419648</v>
      </c>
      <c r="T41" s="151">
        <f>T42+T43+T44+T45+T46+T48+T50+T51+T52+T53+T54+T59+T60+T64+T47+T49</f>
        <v>4665.8</v>
      </c>
      <c r="U41" s="151">
        <f>U42+U43+U44+U45+U46+U48+U50+U51+U52+U53+U54+U59+U60+U64+U47+U49</f>
        <v>4723.610000000001</v>
      </c>
      <c r="V41" s="151">
        <f>V42+V43+V44+V45+V46+V48+V50+V51+V52+V53+V54+V59+V60+V64</f>
        <v>64.61000000000081</v>
      </c>
      <c r="W41" s="151">
        <f>U41/T41*100</f>
        <v>101.2390158172232</v>
      </c>
      <c r="X41" s="15">
        <f>X42+X43+X44+X45+X46+X47+X48+X50+X51+X52+X53+X54+X59+X60+X64</f>
        <v>5598.5</v>
      </c>
      <c r="Y41" s="15">
        <f>U41-X41</f>
        <v>-874.8899999999994</v>
      </c>
    </row>
    <row r="42" spans="1:25" s="6" customFormat="1" ht="46.5">
      <c r="A42" s="8"/>
      <c r="B42" s="44" t="s">
        <v>98</v>
      </c>
      <c r="C42" s="43">
        <v>21010301</v>
      </c>
      <c r="D42" s="150">
        <v>580</v>
      </c>
      <c r="E42" s="150">
        <f>260+220</f>
        <v>480</v>
      </c>
      <c r="F42" s="156">
        <v>1673.37</v>
      </c>
      <c r="G42" s="150">
        <f aca="true" t="shared" si="17" ref="G42:G66">F42-E42</f>
        <v>1193.37</v>
      </c>
      <c r="H42" s="164">
        <f>F42/E42*100</f>
        <v>348.61875</v>
      </c>
      <c r="I42" s="165">
        <f>F42-D42</f>
        <v>1093.37</v>
      </c>
      <c r="J42" s="165">
        <f>F42/D42*100</f>
        <v>288.51206896551724</v>
      </c>
      <c r="K42" s="165"/>
      <c r="L42" s="165"/>
      <c r="M42" s="165"/>
      <c r="N42" s="165">
        <v>551.04</v>
      </c>
      <c r="O42" s="165">
        <f>D42-N42</f>
        <v>28.960000000000036</v>
      </c>
      <c r="P42" s="218">
        <f>D42/N42</f>
        <v>1.052555168408827</v>
      </c>
      <c r="Q42" s="165">
        <v>484.83</v>
      </c>
      <c r="R42" s="165">
        <f t="shared" si="15"/>
        <v>1188.54</v>
      </c>
      <c r="S42" s="218">
        <f>F42/Q42</f>
        <v>3.4514572118062</v>
      </c>
      <c r="T42" s="157">
        <f>E42-вересень!E42</f>
        <v>0</v>
      </c>
      <c r="U42" s="160">
        <f>F42-вересень!F42</f>
        <v>28.139999999999873</v>
      </c>
      <c r="V42" s="161">
        <f aca="true" t="shared" si="18" ref="V42:V66">U42-T42</f>
        <v>28.139999999999873</v>
      </c>
      <c r="W42" s="165" t="e">
        <f>U42/T42</f>
        <v>#DIV/0!</v>
      </c>
      <c r="X42" s="37">
        <v>0</v>
      </c>
      <c r="Y42" s="37">
        <f>U42-X42</f>
        <v>28.139999999999873</v>
      </c>
    </row>
    <row r="43" spans="1:25" s="6" customFormat="1" ht="30.75">
      <c r="A43" s="8"/>
      <c r="B43" s="129" t="s">
        <v>77</v>
      </c>
      <c r="C43" s="42">
        <v>21050000</v>
      </c>
      <c r="D43" s="150">
        <v>30000</v>
      </c>
      <c r="E43" s="150">
        <v>24900</v>
      </c>
      <c r="F43" s="156">
        <v>22514.02</v>
      </c>
      <c r="G43" s="150">
        <f t="shared" si="17"/>
        <v>-2385.9799999999996</v>
      </c>
      <c r="H43" s="164">
        <f aca="true" t="shared" si="19" ref="H43:H54">F43/E43*100</f>
        <v>90.41775100401607</v>
      </c>
      <c r="I43" s="165">
        <f aca="true" t="shared" si="20" ref="I43:I66">F43-D43</f>
        <v>-7485.98</v>
      </c>
      <c r="J43" s="165">
        <f>F43/D43*100</f>
        <v>75.04673333333334</v>
      </c>
      <c r="K43" s="165"/>
      <c r="L43" s="165"/>
      <c r="M43" s="165"/>
      <c r="N43" s="165">
        <v>36136.57</v>
      </c>
      <c r="O43" s="165">
        <f aca="true" t="shared" si="21" ref="O43:O60">D43-N43</f>
        <v>-6136.57</v>
      </c>
      <c r="P43" s="218">
        <f aca="true" t="shared" si="22" ref="P43:P60">D43/N43</f>
        <v>0.8301839383206542</v>
      </c>
      <c r="Q43" s="165">
        <v>27670.12</v>
      </c>
      <c r="R43" s="165">
        <f t="shared" si="15"/>
        <v>-5156.0999999999985</v>
      </c>
      <c r="S43" s="218">
        <f aca="true" t="shared" si="23" ref="S43:S66">F43/Q43</f>
        <v>0.8136581988079561</v>
      </c>
      <c r="T43" s="157">
        <f>E43-вересень!E43</f>
        <v>2800</v>
      </c>
      <c r="U43" s="160">
        <f>F43-вересень!F43</f>
        <v>2019.010000000002</v>
      </c>
      <c r="V43" s="161">
        <f t="shared" si="18"/>
        <v>-780.989999999998</v>
      </c>
      <c r="W43" s="165">
        <f aca="true" t="shared" si="24" ref="W43:W65">U43/T43</f>
        <v>0.7210750000000007</v>
      </c>
      <c r="X43" s="37">
        <v>2874.5</v>
      </c>
      <c r="Y43" s="37" t="e">
        <f>#N/A</f>
        <v>#N/A</v>
      </c>
    </row>
    <row r="44" spans="1:25" s="6" customFormat="1" ht="18">
      <c r="A44" s="8"/>
      <c r="B44" s="129" t="s">
        <v>61</v>
      </c>
      <c r="C44" s="42">
        <v>21080500</v>
      </c>
      <c r="D44" s="150">
        <v>40</v>
      </c>
      <c r="E44" s="150">
        <v>26</v>
      </c>
      <c r="F44" s="156">
        <v>138.3</v>
      </c>
      <c r="G44" s="150">
        <f t="shared" si="17"/>
        <v>112.30000000000001</v>
      </c>
      <c r="H44" s="164">
        <f t="shared" si="19"/>
        <v>531.923076923077</v>
      </c>
      <c r="I44" s="165">
        <f t="shared" si="20"/>
        <v>98.30000000000001</v>
      </c>
      <c r="J44" s="165">
        <f aca="true" t="shared" si="25" ref="J44:J65">F44/D44*100</f>
        <v>345.75000000000006</v>
      </c>
      <c r="K44" s="165"/>
      <c r="L44" s="165"/>
      <c r="M44" s="165"/>
      <c r="N44" s="165">
        <v>31.98</v>
      </c>
      <c r="O44" s="165">
        <f t="shared" si="21"/>
        <v>8.02</v>
      </c>
      <c r="P44" s="218">
        <f t="shared" si="22"/>
        <v>1.2507817385866167</v>
      </c>
      <c r="Q44" s="165">
        <v>31.98</v>
      </c>
      <c r="R44" s="165">
        <f t="shared" si="15"/>
        <v>106.32000000000001</v>
      </c>
      <c r="S44" s="218">
        <f t="shared" si="23"/>
        <v>4.3245778611632275</v>
      </c>
      <c r="T44" s="157">
        <f>E44-вересень!E44</f>
        <v>1</v>
      </c>
      <c r="U44" s="160">
        <f>F44-вересень!F44</f>
        <v>10</v>
      </c>
      <c r="V44" s="161">
        <f t="shared" si="18"/>
        <v>9</v>
      </c>
      <c r="W44" s="165">
        <f t="shared" si="24"/>
        <v>10</v>
      </c>
      <c r="X44" s="37">
        <v>10</v>
      </c>
      <c r="Y44" s="37" t="e">
        <f>#N/A</f>
        <v>#N/A</v>
      </c>
    </row>
    <row r="45" spans="1:25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12.95</v>
      </c>
      <c r="G45" s="150">
        <f t="shared" si="17"/>
        <v>12.95</v>
      </c>
      <c r="H45" s="164" t="e">
        <f t="shared" si="19"/>
        <v>#DIV/0!</v>
      </c>
      <c r="I45" s="165">
        <f t="shared" si="20"/>
        <v>12.95</v>
      </c>
      <c r="J45" s="165"/>
      <c r="K45" s="165"/>
      <c r="L45" s="165"/>
      <c r="M45" s="165"/>
      <c r="N45" s="165">
        <v>0.1</v>
      </c>
      <c r="O45" s="165">
        <f t="shared" si="21"/>
        <v>-0.1</v>
      </c>
      <c r="P45" s="218">
        <f t="shared" si="22"/>
        <v>0</v>
      </c>
      <c r="Q45" s="165">
        <v>0.1</v>
      </c>
      <c r="R45" s="165">
        <f t="shared" si="15"/>
        <v>12.85</v>
      </c>
      <c r="S45" s="218"/>
      <c r="T45" s="157">
        <f>E45-вересень!E45</f>
        <v>0</v>
      </c>
      <c r="U45" s="160">
        <f>F45-вересень!F45</f>
        <v>0</v>
      </c>
      <c r="V45" s="161">
        <f t="shared" si="18"/>
        <v>0</v>
      </c>
      <c r="W45" s="165"/>
      <c r="X45" s="37">
        <v>0</v>
      </c>
      <c r="Y45" s="37" t="e">
        <f>#N/A</f>
        <v>#N/A</v>
      </c>
    </row>
    <row r="46" spans="1:25" s="6" customFormat="1" ht="18">
      <c r="A46" s="8"/>
      <c r="B46" s="130" t="s">
        <v>16</v>
      </c>
      <c r="C46" s="72">
        <v>21081100</v>
      </c>
      <c r="D46" s="150">
        <v>260</v>
      </c>
      <c r="E46" s="150">
        <v>216</v>
      </c>
      <c r="F46" s="156">
        <v>643.08</v>
      </c>
      <c r="G46" s="150">
        <f t="shared" si="17"/>
        <v>427.08000000000004</v>
      </c>
      <c r="H46" s="164">
        <f t="shared" si="19"/>
        <v>297.72222222222223</v>
      </c>
      <c r="I46" s="165">
        <f t="shared" si="20"/>
        <v>383.08000000000004</v>
      </c>
      <c r="J46" s="165">
        <f t="shared" si="25"/>
        <v>247.33846153846156</v>
      </c>
      <c r="K46" s="165"/>
      <c r="L46" s="165"/>
      <c r="M46" s="165"/>
      <c r="N46" s="165">
        <v>241.07</v>
      </c>
      <c r="O46" s="165">
        <f t="shared" si="21"/>
        <v>18.930000000000007</v>
      </c>
      <c r="P46" s="218">
        <f t="shared" si="22"/>
        <v>1.0785249097772431</v>
      </c>
      <c r="Q46" s="165">
        <v>207.68</v>
      </c>
      <c r="R46" s="165">
        <f t="shared" si="15"/>
        <v>435.40000000000003</v>
      </c>
      <c r="S46" s="218">
        <f t="shared" si="23"/>
        <v>3.0964946070878274</v>
      </c>
      <c r="T46" s="157">
        <f>E46-вересень!E46</f>
        <v>22</v>
      </c>
      <c r="U46" s="160">
        <f>F46-вересень!F46</f>
        <v>22.75999999999999</v>
      </c>
      <c r="V46" s="161">
        <f t="shared" si="18"/>
        <v>0.7599999999999909</v>
      </c>
      <c r="W46" s="165">
        <f t="shared" si="24"/>
        <v>1.0345454545454542</v>
      </c>
      <c r="X46" s="37">
        <v>70</v>
      </c>
      <c r="Y46" s="37" t="e">
        <f>#N/A</f>
        <v>#N/A</v>
      </c>
    </row>
    <row r="47" spans="1:25" s="6" customFormat="1" ht="46.5">
      <c r="A47" s="8"/>
      <c r="B47" s="130" t="s">
        <v>80</v>
      </c>
      <c r="C47" s="72">
        <v>21081500</v>
      </c>
      <c r="D47" s="150">
        <v>97.5</v>
      </c>
      <c r="E47" s="150">
        <v>81.6</v>
      </c>
      <c r="F47" s="156">
        <v>78.43</v>
      </c>
      <c r="G47" s="150">
        <f t="shared" si="17"/>
        <v>-3.1699999999999875</v>
      </c>
      <c r="H47" s="164">
        <f t="shared" si="19"/>
        <v>96.11519607843138</v>
      </c>
      <c r="I47" s="165">
        <f t="shared" si="20"/>
        <v>-19.069999999999993</v>
      </c>
      <c r="J47" s="165">
        <f t="shared" si="25"/>
        <v>80.44102564102565</v>
      </c>
      <c r="K47" s="165"/>
      <c r="L47" s="165"/>
      <c r="M47" s="165"/>
      <c r="N47" s="165">
        <v>86.37</v>
      </c>
      <c r="O47" s="165">
        <f t="shared" si="21"/>
        <v>11.129999999999995</v>
      </c>
      <c r="P47" s="218">
        <f t="shared" si="22"/>
        <v>1.1288641889544981</v>
      </c>
      <c r="Q47" s="165">
        <v>47.95</v>
      </c>
      <c r="R47" s="165">
        <f t="shared" si="15"/>
        <v>30.480000000000004</v>
      </c>
      <c r="S47" s="218">
        <f t="shared" si="23"/>
        <v>1.6356621480709073</v>
      </c>
      <c r="T47" s="157">
        <f>E47-вересень!E47</f>
        <v>6.799999999999997</v>
      </c>
      <c r="U47" s="160">
        <f>F47-вересень!F47</f>
        <v>0</v>
      </c>
      <c r="V47" s="161">
        <f t="shared" si="18"/>
        <v>-6.799999999999997</v>
      </c>
      <c r="W47" s="165">
        <f t="shared" si="24"/>
        <v>0</v>
      </c>
      <c r="X47" s="37">
        <v>0</v>
      </c>
      <c r="Y47" s="37" t="e">
        <f>#N/A</f>
        <v>#N/A</v>
      </c>
    </row>
    <row r="48" spans="1:25" s="6" customFormat="1" ht="30.75">
      <c r="A48" s="8"/>
      <c r="B48" s="148" t="s">
        <v>105</v>
      </c>
      <c r="C48" s="49">
        <v>22010300</v>
      </c>
      <c r="D48" s="150">
        <v>730</v>
      </c>
      <c r="E48" s="150">
        <v>700</v>
      </c>
      <c r="F48" s="156">
        <v>1007.94</v>
      </c>
      <c r="G48" s="150">
        <f t="shared" si="17"/>
        <v>307.94000000000005</v>
      </c>
      <c r="H48" s="164">
        <f t="shared" si="19"/>
        <v>143.99142857142857</v>
      </c>
      <c r="I48" s="165">
        <f t="shared" si="20"/>
        <v>277.94000000000005</v>
      </c>
      <c r="J48" s="165">
        <f t="shared" si="25"/>
        <v>138.07397260273973</v>
      </c>
      <c r="K48" s="165"/>
      <c r="L48" s="165"/>
      <c r="M48" s="165"/>
      <c r="N48" s="165">
        <v>791.33</v>
      </c>
      <c r="O48" s="165">
        <f t="shared" si="21"/>
        <v>-61.33000000000004</v>
      </c>
      <c r="P48" s="218">
        <f t="shared" si="22"/>
        <v>0.9224975673865518</v>
      </c>
      <c r="Q48" s="165">
        <v>531.02</v>
      </c>
      <c r="R48" s="165">
        <f t="shared" si="15"/>
        <v>476.9200000000001</v>
      </c>
      <c r="S48" s="218">
        <f t="shared" si="23"/>
        <v>1.898120598094234</v>
      </c>
      <c r="T48" s="157">
        <f>E48-вересень!E48</f>
        <v>60</v>
      </c>
      <c r="U48" s="160">
        <f>F48-вересень!F48</f>
        <v>100.95000000000005</v>
      </c>
      <c r="V48" s="161">
        <f t="shared" si="18"/>
        <v>40.950000000000045</v>
      </c>
      <c r="W48" s="165">
        <f t="shared" si="24"/>
        <v>1.6825000000000008</v>
      </c>
      <c r="X48" s="37">
        <v>100</v>
      </c>
      <c r="Y48" s="37" t="e">
        <f>#N/A</f>
        <v>#N/A</v>
      </c>
    </row>
    <row r="49" spans="1:25" s="6" customFormat="1" ht="18">
      <c r="A49" s="8"/>
      <c r="B49" s="130" t="s">
        <v>223</v>
      </c>
      <c r="C49" s="49">
        <v>22010200</v>
      </c>
      <c r="D49" s="150">
        <v>0</v>
      </c>
      <c r="E49" s="150">
        <v>0</v>
      </c>
      <c r="F49" s="156">
        <v>23.38</v>
      </c>
      <c r="G49" s="150">
        <f t="shared" si="17"/>
        <v>23.38</v>
      </c>
      <c r="H49" s="164"/>
      <c r="I49" s="165">
        <f t="shared" si="20"/>
        <v>23.38</v>
      </c>
      <c r="J49" s="165"/>
      <c r="K49" s="165"/>
      <c r="L49" s="165"/>
      <c r="M49" s="165"/>
      <c r="N49" s="165">
        <v>0</v>
      </c>
      <c r="O49" s="165">
        <f t="shared" si="21"/>
        <v>0</v>
      </c>
      <c r="P49" s="218" t="e">
        <f t="shared" si="22"/>
        <v>#DIV/0!</v>
      </c>
      <c r="Q49" s="165"/>
      <c r="R49" s="165">
        <f t="shared" si="15"/>
        <v>23.38</v>
      </c>
      <c r="S49" s="218"/>
      <c r="T49" s="157">
        <f>E49-вересень!E49</f>
        <v>0</v>
      </c>
      <c r="U49" s="160">
        <f>F49-вересень!F49</f>
        <v>0</v>
      </c>
      <c r="V49" s="161">
        <f t="shared" si="18"/>
        <v>0</v>
      </c>
      <c r="W49" s="165"/>
      <c r="X49" s="37"/>
      <c r="Y49" s="37" t="e">
        <f>#N/A</f>
        <v>#N/A</v>
      </c>
    </row>
    <row r="50" spans="1:25" s="6" customFormat="1" ht="18">
      <c r="A50" s="8"/>
      <c r="B50" s="33" t="s">
        <v>78</v>
      </c>
      <c r="C50" s="72">
        <v>22012500</v>
      </c>
      <c r="D50" s="150">
        <v>11000</v>
      </c>
      <c r="E50" s="150">
        <v>9640</v>
      </c>
      <c r="F50" s="156">
        <v>16501.05</v>
      </c>
      <c r="G50" s="150">
        <f t="shared" si="17"/>
        <v>6861.049999999999</v>
      </c>
      <c r="H50" s="164">
        <f t="shared" si="19"/>
        <v>171.17271784232364</v>
      </c>
      <c r="I50" s="165">
        <f t="shared" si="20"/>
        <v>5501.049999999999</v>
      </c>
      <c r="J50" s="165">
        <f t="shared" si="25"/>
        <v>150.00954545454545</v>
      </c>
      <c r="K50" s="165"/>
      <c r="L50" s="165"/>
      <c r="M50" s="165"/>
      <c r="N50" s="165">
        <v>11422.5</v>
      </c>
      <c r="O50" s="165">
        <f t="shared" si="21"/>
        <v>-422.5</v>
      </c>
      <c r="P50" s="218">
        <f t="shared" si="22"/>
        <v>0.9630115999124534</v>
      </c>
      <c r="Q50" s="165">
        <v>8876.24</v>
      </c>
      <c r="R50" s="165">
        <f t="shared" si="15"/>
        <v>7624.8099999999995</v>
      </c>
      <c r="S50" s="218">
        <f t="shared" si="23"/>
        <v>1.8590135012122249</v>
      </c>
      <c r="T50" s="157">
        <f>E50-вересень!E50</f>
        <v>700</v>
      </c>
      <c r="U50" s="160">
        <f>F50-вересень!F50</f>
        <v>1735.8099999999995</v>
      </c>
      <c r="V50" s="161">
        <f t="shared" si="18"/>
        <v>1035.8099999999995</v>
      </c>
      <c r="W50" s="165">
        <f t="shared" si="24"/>
        <v>2.479728571428571</v>
      </c>
      <c r="X50" s="37">
        <v>1400</v>
      </c>
      <c r="Y50" s="37" t="e">
        <f>#N/A</f>
        <v>#N/A</v>
      </c>
    </row>
    <row r="51" spans="1:25" s="6" customFormat="1" ht="31.5">
      <c r="A51" s="8"/>
      <c r="B51" s="149" t="s">
        <v>99</v>
      </c>
      <c r="C51" s="72">
        <v>22012600</v>
      </c>
      <c r="D51" s="150">
        <v>310</v>
      </c>
      <c r="E51" s="150">
        <v>260</v>
      </c>
      <c r="F51" s="156">
        <v>530.96</v>
      </c>
      <c r="G51" s="150">
        <f t="shared" si="17"/>
        <v>270.96000000000004</v>
      </c>
      <c r="H51" s="164">
        <f t="shared" si="19"/>
        <v>204.21538461538464</v>
      </c>
      <c r="I51" s="165">
        <f t="shared" si="20"/>
        <v>220.96000000000004</v>
      </c>
      <c r="J51" s="165">
        <f t="shared" si="25"/>
        <v>171.2774193548387</v>
      </c>
      <c r="K51" s="165"/>
      <c r="L51" s="165"/>
      <c r="M51" s="165"/>
      <c r="N51" s="165">
        <v>323.25</v>
      </c>
      <c r="O51" s="165">
        <f t="shared" si="21"/>
        <v>-13.25</v>
      </c>
      <c r="P51" s="218">
        <f t="shared" si="22"/>
        <v>0.9590100541376644</v>
      </c>
      <c r="Q51" s="165">
        <v>246.53</v>
      </c>
      <c r="R51" s="165">
        <f t="shared" si="15"/>
        <v>284.43000000000006</v>
      </c>
      <c r="S51" s="218">
        <f t="shared" si="23"/>
        <v>2.1537338254979113</v>
      </c>
      <c r="T51" s="157">
        <f>E51-вересень!E51</f>
        <v>25</v>
      </c>
      <c r="U51" s="160">
        <f>F51-вересень!F51</f>
        <v>92.92000000000002</v>
      </c>
      <c r="V51" s="161">
        <f t="shared" si="18"/>
        <v>67.92000000000002</v>
      </c>
      <c r="W51" s="165">
        <f t="shared" si="24"/>
        <v>3.7168000000000005</v>
      </c>
      <c r="X51" s="37">
        <v>40</v>
      </c>
      <c r="Y51" s="37" t="e">
        <f>#N/A</f>
        <v>#N/A</v>
      </c>
    </row>
    <row r="52" spans="1:25" s="6" customFormat="1" ht="31.5">
      <c r="A52" s="8"/>
      <c r="B52" s="149" t="s">
        <v>106</v>
      </c>
      <c r="C52" s="72">
        <v>22012900</v>
      </c>
      <c r="D52" s="150">
        <v>20</v>
      </c>
      <c r="E52" s="150">
        <v>18</v>
      </c>
      <c r="F52" s="156">
        <v>30.88</v>
      </c>
      <c r="G52" s="150">
        <f t="shared" si="17"/>
        <v>12.879999999999999</v>
      </c>
      <c r="H52" s="164">
        <f t="shared" si="19"/>
        <v>171.55555555555554</v>
      </c>
      <c r="I52" s="165">
        <f t="shared" si="20"/>
        <v>10.879999999999999</v>
      </c>
      <c r="J52" s="165">
        <f t="shared" si="25"/>
        <v>154.4</v>
      </c>
      <c r="K52" s="165"/>
      <c r="L52" s="165"/>
      <c r="M52" s="165"/>
      <c r="N52" s="165">
        <v>22.36</v>
      </c>
      <c r="O52" s="165">
        <f t="shared" si="21"/>
        <v>-2.3599999999999994</v>
      </c>
      <c r="P52" s="218">
        <f t="shared" si="22"/>
        <v>0.8944543828264758</v>
      </c>
      <c r="Q52" s="165">
        <v>16.96</v>
      </c>
      <c r="R52" s="165">
        <f t="shared" si="15"/>
        <v>13.919999999999998</v>
      </c>
      <c r="S52" s="218">
        <f t="shared" si="23"/>
        <v>1.820754716981132</v>
      </c>
      <c r="T52" s="157">
        <f>E52-вересень!E52</f>
        <v>1</v>
      </c>
      <c r="U52" s="160">
        <f>F52-вересень!F52</f>
        <v>1.5999999999999979</v>
      </c>
      <c r="V52" s="161">
        <f t="shared" si="18"/>
        <v>0.5999999999999979</v>
      </c>
      <c r="W52" s="165">
        <f t="shared" si="24"/>
        <v>1.5999999999999979</v>
      </c>
      <c r="X52" s="37">
        <v>4</v>
      </c>
      <c r="Y52" s="37" t="e">
        <f>#N/A</f>
        <v>#N/A</v>
      </c>
    </row>
    <row r="53" spans="1:25" s="6" customFormat="1" ht="30.75">
      <c r="A53" s="8"/>
      <c r="B53" s="130" t="s">
        <v>14</v>
      </c>
      <c r="C53" s="49">
        <v>22080400</v>
      </c>
      <c r="D53" s="150">
        <v>7275</v>
      </c>
      <c r="E53" s="150">
        <v>6065</v>
      </c>
      <c r="F53" s="156">
        <v>5408.19</v>
      </c>
      <c r="G53" s="150">
        <f t="shared" si="17"/>
        <v>-656.8100000000004</v>
      </c>
      <c r="H53" s="164">
        <f t="shared" si="19"/>
        <v>89.1704863973619</v>
      </c>
      <c r="I53" s="165">
        <f t="shared" si="20"/>
        <v>-1866.8100000000004</v>
      </c>
      <c r="J53" s="165">
        <f t="shared" si="25"/>
        <v>74.33938144329898</v>
      </c>
      <c r="K53" s="165"/>
      <c r="L53" s="165"/>
      <c r="M53" s="165"/>
      <c r="N53" s="165">
        <v>7230.43</v>
      </c>
      <c r="O53" s="165">
        <f t="shared" si="21"/>
        <v>44.56999999999971</v>
      </c>
      <c r="P53" s="218">
        <f t="shared" si="22"/>
        <v>1.0061642253641898</v>
      </c>
      <c r="Q53" s="165">
        <v>6193.94</v>
      </c>
      <c r="R53" s="165">
        <f t="shared" si="15"/>
        <v>-785.75</v>
      </c>
      <c r="S53" s="218">
        <f t="shared" si="23"/>
        <v>0.8731421357003781</v>
      </c>
      <c r="T53" s="157">
        <f>E53-вересень!E53</f>
        <v>605</v>
      </c>
      <c r="U53" s="160">
        <f>F53-вересень!F53</f>
        <v>534.8599999999997</v>
      </c>
      <c r="V53" s="161">
        <f t="shared" si="18"/>
        <v>-70.14000000000033</v>
      </c>
      <c r="W53" s="165">
        <f t="shared" si="24"/>
        <v>0.8840661157024788</v>
      </c>
      <c r="X53" s="37">
        <v>550</v>
      </c>
      <c r="Y53" s="37" t="e">
        <f>#N/A</f>
        <v>#N/A</v>
      </c>
    </row>
    <row r="54" spans="1:25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985</v>
      </c>
      <c r="F54" s="156">
        <v>706.73</v>
      </c>
      <c r="G54" s="150">
        <f t="shared" si="17"/>
        <v>-278.27</v>
      </c>
      <c r="H54" s="164">
        <f t="shared" si="19"/>
        <v>71.7492385786802</v>
      </c>
      <c r="I54" s="165">
        <f t="shared" si="20"/>
        <v>-493.27</v>
      </c>
      <c r="J54" s="165">
        <f t="shared" si="25"/>
        <v>58.89416666666667</v>
      </c>
      <c r="K54" s="165"/>
      <c r="L54" s="165"/>
      <c r="M54" s="165"/>
      <c r="N54" s="165">
        <v>5161.34</v>
      </c>
      <c r="O54" s="165">
        <f t="shared" si="21"/>
        <v>-3961.34</v>
      </c>
      <c r="P54" s="218">
        <f t="shared" si="22"/>
        <v>0.23249776220903873</v>
      </c>
      <c r="Q54" s="165">
        <v>5010.53</v>
      </c>
      <c r="R54" s="165">
        <f t="shared" si="15"/>
        <v>-4303.799999999999</v>
      </c>
      <c r="S54" s="218">
        <f t="shared" si="23"/>
        <v>0.14104895090938485</v>
      </c>
      <c r="T54" s="157">
        <f>E54-вересень!E54</f>
        <v>95</v>
      </c>
      <c r="U54" s="160">
        <f>F54-вересень!F54</f>
        <v>79.75999999999999</v>
      </c>
      <c r="V54" s="161">
        <f t="shared" si="18"/>
        <v>-15.240000000000009</v>
      </c>
      <c r="W54" s="165">
        <f t="shared" si="24"/>
        <v>0.839578947368421</v>
      </c>
      <c r="X54" s="37">
        <v>50</v>
      </c>
      <c r="Y54" s="37" t="e">
        <f>#N/A</f>
        <v>#N/A</v>
      </c>
    </row>
    <row r="55" spans="1:25" s="6" customFormat="1" ht="18" hidden="1">
      <c r="A55" s="8"/>
      <c r="B55" s="50" t="s">
        <v>97</v>
      </c>
      <c r="C55" s="123">
        <v>22090100</v>
      </c>
      <c r="D55" s="103">
        <v>998</v>
      </c>
      <c r="E55" s="103">
        <v>820</v>
      </c>
      <c r="F55" s="140">
        <v>595.16</v>
      </c>
      <c r="G55" s="103">
        <f t="shared" si="17"/>
        <v>-224.84000000000003</v>
      </c>
      <c r="H55" s="105">
        <f>F55/E55*100</f>
        <v>72.58048780487805</v>
      </c>
      <c r="I55" s="104">
        <f t="shared" si="20"/>
        <v>-402.84000000000003</v>
      </c>
      <c r="J55" s="104">
        <f t="shared" si="25"/>
        <v>59.635270541082164</v>
      </c>
      <c r="K55" s="104"/>
      <c r="L55" s="104"/>
      <c r="M55" s="104"/>
      <c r="N55" s="104">
        <v>835.21</v>
      </c>
      <c r="O55" s="104">
        <f t="shared" si="21"/>
        <v>162.78999999999996</v>
      </c>
      <c r="P55" s="109">
        <f t="shared" si="22"/>
        <v>1.1949090647861016</v>
      </c>
      <c r="Q55" s="104">
        <v>702.3</v>
      </c>
      <c r="R55" s="165">
        <f t="shared" si="15"/>
        <v>-107.13999999999999</v>
      </c>
      <c r="S55" s="218">
        <f t="shared" si="23"/>
        <v>0.8474441122027624</v>
      </c>
      <c r="T55" s="105">
        <f>E55-вересень!E55</f>
        <v>80</v>
      </c>
      <c r="U55" s="144">
        <f>F55-вересень!F55</f>
        <v>67.13999999999999</v>
      </c>
      <c r="V55" s="106">
        <f t="shared" si="18"/>
        <v>-12.860000000000014</v>
      </c>
      <c r="W55" s="104">
        <f t="shared" si="24"/>
        <v>0.8392499999999998</v>
      </c>
      <c r="X55" s="37"/>
      <c r="Y55" s="37" t="e">
        <f>#N/A</f>
        <v>#N/A</v>
      </c>
    </row>
    <row r="56" spans="1:25" s="6" customFormat="1" ht="18" hidden="1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0.17</v>
      </c>
      <c r="G56" s="103">
        <f t="shared" si="17"/>
        <v>0.17</v>
      </c>
      <c r="H56" s="105" t="e">
        <f>F56/E56*100</f>
        <v>#DIV/0!</v>
      </c>
      <c r="I56" s="104">
        <f t="shared" si="20"/>
        <v>-0.83</v>
      </c>
      <c r="J56" s="104">
        <f t="shared" si="25"/>
        <v>17</v>
      </c>
      <c r="K56" s="104"/>
      <c r="L56" s="104"/>
      <c r="M56" s="104"/>
      <c r="N56" s="104">
        <v>0.38</v>
      </c>
      <c r="O56" s="104">
        <f t="shared" si="21"/>
        <v>0.62</v>
      </c>
      <c r="P56" s="109">
        <f t="shared" si="22"/>
        <v>2.6315789473684212</v>
      </c>
      <c r="Q56" s="104">
        <v>0.29</v>
      </c>
      <c r="R56" s="165">
        <f t="shared" si="15"/>
        <v>-0.11999999999999997</v>
      </c>
      <c r="S56" s="218">
        <f t="shared" si="23"/>
        <v>0.5862068965517242</v>
      </c>
      <c r="T56" s="105">
        <f>E56-вересень!E56</f>
        <v>0</v>
      </c>
      <c r="U56" s="144">
        <f>F56-вересень!F56</f>
        <v>0.020000000000000018</v>
      </c>
      <c r="V56" s="106">
        <f t="shared" si="18"/>
        <v>0.020000000000000018</v>
      </c>
      <c r="W56" s="104"/>
      <c r="X56" s="37"/>
      <c r="Y56" s="37" t="e">
        <f>#N/A</f>
        <v>#N/A</v>
      </c>
    </row>
    <row r="57" spans="1:25" s="6" customFormat="1" ht="18" hidden="1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103">
        <f t="shared" si="17"/>
        <v>0</v>
      </c>
      <c r="H57" s="105" t="e">
        <f>F57/E57*100</f>
        <v>#DIV/0!</v>
      </c>
      <c r="I57" s="104">
        <f t="shared" si="20"/>
        <v>-1</v>
      </c>
      <c r="J57" s="104">
        <f t="shared" si="25"/>
        <v>0</v>
      </c>
      <c r="K57" s="104"/>
      <c r="L57" s="104"/>
      <c r="M57" s="104"/>
      <c r="N57" s="104">
        <v>0.02</v>
      </c>
      <c r="O57" s="104">
        <f t="shared" si="21"/>
        <v>0.98</v>
      </c>
      <c r="P57" s="109">
        <f t="shared" si="22"/>
        <v>50</v>
      </c>
      <c r="Q57" s="104">
        <v>0.02</v>
      </c>
      <c r="R57" s="165">
        <f t="shared" si="15"/>
        <v>-0.02</v>
      </c>
      <c r="S57" s="218">
        <f t="shared" si="23"/>
        <v>0</v>
      </c>
      <c r="T57" s="105">
        <f>E57-вересень!E57</f>
        <v>0</v>
      </c>
      <c r="U57" s="144">
        <f>F57-вересень!F57</f>
        <v>0</v>
      </c>
      <c r="V57" s="106">
        <f t="shared" si="18"/>
        <v>0</v>
      </c>
      <c r="W57" s="104"/>
      <c r="X57" s="37"/>
      <c r="Y57" s="37" t="e">
        <f>#N/A</f>
        <v>#N/A</v>
      </c>
    </row>
    <row r="58" spans="1:25" s="6" customFormat="1" ht="18" hidden="1">
      <c r="A58" s="8"/>
      <c r="B58" s="50" t="s">
        <v>96</v>
      </c>
      <c r="C58" s="123">
        <v>22090400</v>
      </c>
      <c r="D58" s="103">
        <v>200</v>
      </c>
      <c r="E58" s="103">
        <v>165</v>
      </c>
      <c r="F58" s="140">
        <v>111.4</v>
      </c>
      <c r="G58" s="103">
        <f t="shared" si="17"/>
        <v>-53.599999999999994</v>
      </c>
      <c r="H58" s="105">
        <f>F58/E58*100</f>
        <v>67.51515151515152</v>
      </c>
      <c r="I58" s="104">
        <f t="shared" si="20"/>
        <v>-88.6</v>
      </c>
      <c r="J58" s="104">
        <f t="shared" si="25"/>
        <v>55.7</v>
      </c>
      <c r="K58" s="104"/>
      <c r="L58" s="104"/>
      <c r="M58" s="104"/>
      <c r="N58" s="104">
        <v>4325.74</v>
      </c>
      <c r="O58" s="104">
        <f t="shared" si="21"/>
        <v>-4125.74</v>
      </c>
      <c r="P58" s="109">
        <f t="shared" si="22"/>
        <v>0.04623486386144336</v>
      </c>
      <c r="Q58" s="104">
        <v>4307.92</v>
      </c>
      <c r="R58" s="165">
        <f t="shared" si="15"/>
        <v>-4196.52</v>
      </c>
      <c r="S58" s="218">
        <f t="shared" si="23"/>
        <v>0.02585934743449275</v>
      </c>
      <c r="T58" s="105">
        <f>E58-вересень!E58</f>
        <v>15</v>
      </c>
      <c r="U58" s="144">
        <f>F58-вересень!F58</f>
        <v>12.600000000000009</v>
      </c>
      <c r="V58" s="106">
        <f t="shared" si="18"/>
        <v>-2.3999999999999915</v>
      </c>
      <c r="W58" s="104">
        <f t="shared" si="24"/>
        <v>0.8400000000000005</v>
      </c>
      <c r="X58" s="37"/>
      <c r="Y58" s="37" t="e">
        <f>#N/A</f>
        <v>#N/A</v>
      </c>
    </row>
    <row r="59" spans="1:25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50">
        <f t="shared" si="17"/>
        <v>-0.45999999999999996</v>
      </c>
      <c r="H59" s="164">
        <f>F59/E59*100</f>
        <v>81.60000000000001</v>
      </c>
      <c r="I59" s="165">
        <f t="shared" si="20"/>
        <v>-0.45999999999999996</v>
      </c>
      <c r="J59" s="165">
        <f t="shared" si="25"/>
        <v>81.60000000000001</v>
      </c>
      <c r="K59" s="165"/>
      <c r="L59" s="165"/>
      <c r="M59" s="165"/>
      <c r="N59" s="165">
        <v>2.46</v>
      </c>
      <c r="O59" s="165">
        <f t="shared" si="21"/>
        <v>0.040000000000000036</v>
      </c>
      <c r="P59" s="218">
        <f t="shared" si="22"/>
        <v>1.016260162601626</v>
      </c>
      <c r="Q59" s="165">
        <v>2.46</v>
      </c>
      <c r="R59" s="165">
        <f t="shared" si="15"/>
        <v>-0.41999999999999993</v>
      </c>
      <c r="S59" s="218">
        <f t="shared" si="23"/>
        <v>0.8292682926829269</v>
      </c>
      <c r="T59" s="157">
        <f>E59-вересень!E59</f>
        <v>0</v>
      </c>
      <c r="U59" s="160">
        <f>F59-вересень!F59</f>
        <v>0</v>
      </c>
      <c r="V59" s="161">
        <f t="shared" si="18"/>
        <v>0</v>
      </c>
      <c r="W59" s="165"/>
      <c r="X59" s="37">
        <v>0</v>
      </c>
      <c r="Y59" s="37" t="e">
        <f>#N/A</f>
        <v>#N/A</v>
      </c>
    </row>
    <row r="60" spans="1:25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v>6750</v>
      </c>
      <c r="F60" s="156">
        <v>6799.92</v>
      </c>
      <c r="G60" s="150">
        <f t="shared" si="17"/>
        <v>49.92000000000007</v>
      </c>
      <c r="H60" s="164">
        <f aca="true" t="shared" si="26" ref="H60:H65">F60/E60*100</f>
        <v>100.73955555555555</v>
      </c>
      <c r="I60" s="165">
        <f t="shared" si="20"/>
        <v>-550.0799999999999</v>
      </c>
      <c r="J60" s="165">
        <f t="shared" si="25"/>
        <v>92.51591836734694</v>
      </c>
      <c r="K60" s="165"/>
      <c r="L60" s="165"/>
      <c r="M60" s="165"/>
      <c r="N60" s="165">
        <v>6525.16</v>
      </c>
      <c r="O60" s="165">
        <f t="shared" si="21"/>
        <v>824.8400000000001</v>
      </c>
      <c r="P60" s="218">
        <f t="shared" si="22"/>
        <v>1.1264091608481632</v>
      </c>
      <c r="Q60" s="165">
        <v>5538.46</v>
      </c>
      <c r="R60" s="165">
        <f t="shared" si="15"/>
        <v>1261.46</v>
      </c>
      <c r="S60" s="218">
        <f t="shared" si="23"/>
        <v>1.2277636743787985</v>
      </c>
      <c r="T60" s="157">
        <f>E60-вересень!E60</f>
        <v>350</v>
      </c>
      <c r="U60" s="160">
        <f>F60-вересень!F60</f>
        <v>38.35999999999967</v>
      </c>
      <c r="V60" s="161">
        <f t="shared" si="18"/>
        <v>-311.6400000000003</v>
      </c>
      <c r="W60" s="165">
        <f t="shared" si="24"/>
        <v>0.10959999999999906</v>
      </c>
      <c r="X60" s="37">
        <v>500</v>
      </c>
      <c r="Y60" s="37" t="e">
        <f>#N/A</f>
        <v>#N/A</v>
      </c>
    </row>
    <row r="61" spans="1:25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50">
        <f t="shared" si="17"/>
        <v>0</v>
      </c>
      <c r="H61" s="164" t="e">
        <f t="shared" si="26"/>
        <v>#DIV/0!</v>
      </c>
      <c r="I61" s="165">
        <f t="shared" si="20"/>
        <v>0</v>
      </c>
      <c r="J61" s="165" t="e">
        <f t="shared" si="25"/>
        <v>#DIV/0!</v>
      </c>
      <c r="K61" s="165"/>
      <c r="L61" s="165"/>
      <c r="M61" s="165"/>
      <c r="N61" s="165"/>
      <c r="O61" s="165"/>
      <c r="P61" s="218"/>
      <c r="Q61" s="165">
        <v>0</v>
      </c>
      <c r="R61" s="165">
        <f t="shared" si="15"/>
        <v>0</v>
      </c>
      <c r="S61" s="218" t="e">
        <f t="shared" si="23"/>
        <v>#DIV/0!</v>
      </c>
      <c r="T61" s="157">
        <f>E61-вересень!E61</f>
        <v>0</v>
      </c>
      <c r="U61" s="160">
        <f>F61-вересень!F61</f>
        <v>0</v>
      </c>
      <c r="V61" s="161">
        <f t="shared" si="18"/>
        <v>0</v>
      </c>
      <c r="W61" s="165" t="e">
        <f t="shared" si="24"/>
        <v>#DIV/0!</v>
      </c>
      <c r="X61" s="37"/>
      <c r="Y61" s="37" t="e">
        <f>#N/A</f>
        <v>#N/A</v>
      </c>
    </row>
    <row r="62" spans="1:25" s="6" customFormat="1" ht="30.75">
      <c r="A62" s="8"/>
      <c r="B62" s="50" t="s">
        <v>42</v>
      </c>
      <c r="C62" s="61"/>
      <c r="D62" s="103"/>
      <c r="E62" s="103"/>
      <c r="F62" s="201">
        <v>1773.21</v>
      </c>
      <c r="G62" s="253"/>
      <c r="H62" s="164"/>
      <c r="I62" s="254"/>
      <c r="J62" s="254"/>
      <c r="K62" s="254"/>
      <c r="L62" s="254"/>
      <c r="M62" s="254"/>
      <c r="N62" s="254">
        <v>1411.18</v>
      </c>
      <c r="O62" s="165"/>
      <c r="P62" s="218"/>
      <c r="Q62" s="166">
        <v>1136.87</v>
      </c>
      <c r="R62" s="254">
        <f t="shared" si="15"/>
        <v>636.3400000000001</v>
      </c>
      <c r="S62" s="305">
        <f t="shared" si="23"/>
        <v>1.559729784408068</v>
      </c>
      <c r="T62" s="157"/>
      <c r="U62" s="179">
        <f>F62-вересень!F62</f>
        <v>205.34000000000015</v>
      </c>
      <c r="V62" s="166">
        <f t="shared" si="18"/>
        <v>205.34000000000015</v>
      </c>
      <c r="W62" s="165"/>
      <c r="X62" s="37"/>
      <c r="Y62" s="37" t="e">
        <f>#N/A</f>
        <v>#N/A</v>
      </c>
    </row>
    <row r="63" spans="1:25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50">
        <f t="shared" si="17"/>
        <v>0</v>
      </c>
      <c r="H63" s="164" t="e">
        <f t="shared" si="26"/>
        <v>#DIV/0!</v>
      </c>
      <c r="I63" s="165">
        <f t="shared" si="20"/>
        <v>0</v>
      </c>
      <c r="J63" s="165" t="e">
        <f t="shared" si="25"/>
        <v>#DIV/0!</v>
      </c>
      <c r="K63" s="165"/>
      <c r="L63" s="165"/>
      <c r="M63" s="165"/>
      <c r="N63" s="165"/>
      <c r="O63" s="165"/>
      <c r="P63" s="218"/>
      <c r="Q63" s="166">
        <v>0</v>
      </c>
      <c r="R63" s="165">
        <f t="shared" si="15"/>
        <v>0</v>
      </c>
      <c r="S63" s="218" t="e">
        <f t="shared" si="23"/>
        <v>#DIV/0!</v>
      </c>
      <c r="T63" s="157">
        <f>E63-вересень!E63</f>
        <v>0</v>
      </c>
      <c r="U63" s="160">
        <f>F63-вересень!F63</f>
        <v>0</v>
      </c>
      <c r="V63" s="161">
        <f t="shared" si="18"/>
        <v>0</v>
      </c>
      <c r="W63" s="165" t="e">
        <f t="shared" si="24"/>
        <v>#DIV/0!</v>
      </c>
      <c r="X63" s="37"/>
      <c r="Y63" s="37" t="e">
        <f>#N/A</f>
        <v>#N/A</v>
      </c>
    </row>
    <row r="64" spans="1:25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90</v>
      </c>
      <c r="F64" s="156">
        <v>119.58</v>
      </c>
      <c r="G64" s="150">
        <f t="shared" si="17"/>
        <v>29.58</v>
      </c>
      <c r="H64" s="164">
        <f t="shared" si="26"/>
        <v>132.86666666666667</v>
      </c>
      <c r="I64" s="165">
        <f t="shared" si="20"/>
        <v>-40.42</v>
      </c>
      <c r="J64" s="165">
        <f t="shared" si="25"/>
        <v>74.7375</v>
      </c>
      <c r="K64" s="165"/>
      <c r="L64" s="165"/>
      <c r="M64" s="165"/>
      <c r="N64" s="165">
        <v>226.72</v>
      </c>
      <c r="O64" s="165">
        <f>D64-N64</f>
        <v>-66.72</v>
      </c>
      <c r="P64" s="218">
        <f>D64/N64</f>
        <v>0.7057163020465773</v>
      </c>
      <c r="Q64" s="165">
        <v>158.93</v>
      </c>
      <c r="R64" s="165">
        <f t="shared" si="15"/>
        <v>-39.35000000000001</v>
      </c>
      <c r="S64" s="218">
        <f t="shared" si="23"/>
        <v>0.752406719939596</v>
      </c>
      <c r="T64" s="157">
        <f>E64-вересень!E64</f>
        <v>0</v>
      </c>
      <c r="U64" s="160">
        <f>F64-вересень!F64</f>
        <v>59.44</v>
      </c>
      <c r="V64" s="161">
        <f t="shared" si="18"/>
        <v>59.44</v>
      </c>
      <c r="W64" s="165" t="e">
        <f t="shared" si="24"/>
        <v>#DIV/0!</v>
      </c>
      <c r="X64" s="37">
        <v>0</v>
      </c>
      <c r="Y64" s="37" t="e">
        <f>#N/A</f>
        <v>#N/A</v>
      </c>
    </row>
    <row r="65" spans="1:25" s="6" customFormat="1" ht="30.75">
      <c r="A65" s="8"/>
      <c r="B65" s="12" t="s">
        <v>44</v>
      </c>
      <c r="C65" s="43">
        <v>31010200</v>
      </c>
      <c r="D65" s="150">
        <v>15</v>
      </c>
      <c r="E65" s="150">
        <v>12.6</v>
      </c>
      <c r="F65" s="156">
        <v>34.22</v>
      </c>
      <c r="G65" s="150">
        <f t="shared" si="17"/>
        <v>21.619999999999997</v>
      </c>
      <c r="H65" s="164">
        <f t="shared" si="26"/>
        <v>271.5873015873016</v>
      </c>
      <c r="I65" s="165">
        <f t="shared" si="20"/>
        <v>19.22</v>
      </c>
      <c r="J65" s="165">
        <f t="shared" si="25"/>
        <v>228.13333333333335</v>
      </c>
      <c r="K65" s="165"/>
      <c r="L65" s="165"/>
      <c r="M65" s="165"/>
      <c r="N65" s="165">
        <v>13.52</v>
      </c>
      <c r="O65" s="165">
        <f>D65-N65</f>
        <v>1.4800000000000004</v>
      </c>
      <c r="P65" s="218">
        <f>D65/N65</f>
        <v>1.1094674556213018</v>
      </c>
      <c r="Q65" s="165">
        <v>13.52</v>
      </c>
      <c r="R65" s="165">
        <f t="shared" si="15"/>
        <v>20.7</v>
      </c>
      <c r="S65" s="218">
        <f t="shared" si="23"/>
        <v>2.5310650887573964</v>
      </c>
      <c r="T65" s="157">
        <f>E65-вересень!E65</f>
        <v>1.299999999999999</v>
      </c>
      <c r="U65" s="160">
        <f>F65-вересень!F65</f>
        <v>0</v>
      </c>
      <c r="V65" s="161">
        <f t="shared" si="18"/>
        <v>-1.299999999999999</v>
      </c>
      <c r="W65" s="165">
        <f t="shared" si="24"/>
        <v>0</v>
      </c>
      <c r="X65" s="37">
        <v>3.2</v>
      </c>
      <c r="Y65" s="37" t="e">
        <f>#N/A</f>
        <v>#N/A</v>
      </c>
    </row>
    <row r="66" spans="1:25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-5.03</v>
      </c>
      <c r="G66" s="150">
        <f t="shared" si="17"/>
        <v>-5.03</v>
      </c>
      <c r="H66" s="164"/>
      <c r="I66" s="165">
        <f t="shared" si="20"/>
        <v>-5.03</v>
      </c>
      <c r="J66" s="165"/>
      <c r="K66" s="165"/>
      <c r="L66" s="165"/>
      <c r="M66" s="165"/>
      <c r="N66" s="165">
        <v>7.37</v>
      </c>
      <c r="O66" s="165">
        <f>D66-N66</f>
        <v>-7.37</v>
      </c>
      <c r="P66" s="218">
        <f>D66/N66</f>
        <v>0</v>
      </c>
      <c r="Q66" s="165">
        <v>1.02</v>
      </c>
      <c r="R66" s="165">
        <f t="shared" si="15"/>
        <v>-6.050000000000001</v>
      </c>
      <c r="S66" s="218">
        <f t="shared" si="23"/>
        <v>-4.931372549019608</v>
      </c>
      <c r="T66" s="157">
        <f>E66-вересень!E66</f>
        <v>0</v>
      </c>
      <c r="U66" s="160">
        <f>F66-вересень!F66</f>
        <v>0.13999999999999968</v>
      </c>
      <c r="V66" s="161">
        <f t="shared" si="18"/>
        <v>0.13999999999999968</v>
      </c>
      <c r="W66" s="165"/>
      <c r="X66" s="37">
        <v>0</v>
      </c>
      <c r="Y66" s="37" t="e">
        <f>#N/A</f>
        <v>#N/A</v>
      </c>
    </row>
    <row r="67" spans="1:25" s="6" customFormat="1" ht="17.25">
      <c r="A67" s="9"/>
      <c r="B67" s="14" t="s">
        <v>184</v>
      </c>
      <c r="C67" s="62"/>
      <c r="D67" s="151">
        <f>D8+D41+D65+D66</f>
        <v>1357491.1</v>
      </c>
      <c r="E67" s="151">
        <f>E8+E41+E65+E66</f>
        <v>1114771.3000000003</v>
      </c>
      <c r="F67" s="151">
        <f>F8+F41+F65+F66</f>
        <v>1132044.15</v>
      </c>
      <c r="G67" s="151">
        <f>F67-E67</f>
        <v>17272.849999999627</v>
      </c>
      <c r="H67" s="152">
        <f>F67/E67*100</f>
        <v>101.54945234058319</v>
      </c>
      <c r="I67" s="153">
        <f>F67-D67</f>
        <v>-225446.9500000002</v>
      </c>
      <c r="J67" s="153">
        <f>F67/D67*100</f>
        <v>83.3923809887225</v>
      </c>
      <c r="K67" s="153"/>
      <c r="L67" s="153"/>
      <c r="M67" s="153"/>
      <c r="N67" s="153">
        <v>1053569.51</v>
      </c>
      <c r="O67" s="153">
        <f>D67-N67</f>
        <v>303921.5900000001</v>
      </c>
      <c r="P67" s="219">
        <f>D67/N67</f>
        <v>1.288468475136491</v>
      </c>
      <c r="Q67" s="151">
        <v>852651.02</v>
      </c>
      <c r="R67" s="153">
        <f>F67-Q67</f>
        <v>279393.1299999999</v>
      </c>
      <c r="S67" s="219">
        <f>F67/Q67</f>
        <v>1.32767582920384</v>
      </c>
      <c r="T67" s="151">
        <f>T8+T41+T65+T66</f>
        <v>122580.1</v>
      </c>
      <c r="U67" s="151">
        <f>U8+U41+U65+U66</f>
        <v>142316.04999999993</v>
      </c>
      <c r="V67" s="194">
        <f>U67-T67</f>
        <v>19735.949999999924</v>
      </c>
      <c r="W67" s="153">
        <f>U67/T67*100</f>
        <v>116.10045186779902</v>
      </c>
      <c r="X67" s="27">
        <f>X8+X41+X65+X66</f>
        <v>108115.7</v>
      </c>
      <c r="Y67" s="280">
        <f>U67-X67</f>
        <v>34200.34999999993</v>
      </c>
    </row>
    <row r="68" spans="1:25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35"/>
      <c r="O68" s="35"/>
      <c r="P68" s="96"/>
      <c r="Q68" s="35"/>
      <c r="R68" s="35"/>
      <c r="S68" s="35"/>
      <c r="T68" s="47"/>
      <c r="U68" s="46"/>
      <c r="V68" s="79"/>
      <c r="W68" s="35"/>
      <c r="X68" s="35"/>
      <c r="Y68" s="35"/>
    </row>
    <row r="69" spans="1:25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5"/>
      <c r="O69" s="35"/>
      <c r="P69" s="96"/>
      <c r="Q69" s="35"/>
      <c r="R69" s="35"/>
      <c r="S69" s="35"/>
      <c r="T69" s="30"/>
      <c r="U69" s="46"/>
      <c r="V69" s="59"/>
      <c r="W69" s="35"/>
      <c r="X69" s="35"/>
      <c r="Y69" s="35"/>
    </row>
    <row r="70" spans="1:25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5"/>
      <c r="O70" s="35"/>
      <c r="P70" s="96"/>
      <c r="Q70" s="35"/>
      <c r="R70" s="35"/>
      <c r="S70" s="35"/>
      <c r="T70" s="30"/>
      <c r="U70" s="57"/>
      <c r="V70" s="79"/>
      <c r="W70" s="35"/>
      <c r="X70" s="35"/>
      <c r="Y70" s="35"/>
    </row>
    <row r="71" spans="2:25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8"/>
      <c r="O71" s="38"/>
      <c r="P71" s="97"/>
      <c r="Q71" s="38"/>
      <c r="R71" s="38"/>
      <c r="S71" s="38"/>
      <c r="T71" s="31"/>
      <c r="U71" s="146"/>
      <c r="V71" s="36"/>
      <c r="W71" s="38"/>
      <c r="X71" s="38"/>
      <c r="Y71" s="38"/>
    </row>
    <row r="72" spans="2:25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/>
      <c r="L72" s="167"/>
      <c r="M72" s="167"/>
      <c r="N72" s="167"/>
      <c r="O72" s="167"/>
      <c r="P72" s="209"/>
      <c r="Q72" s="167">
        <v>-3.83</v>
      </c>
      <c r="R72" s="167">
        <f>F72-Q72</f>
        <v>3.84</v>
      </c>
      <c r="S72" s="209">
        <f>F72/Q72</f>
        <v>-0.0026109660574412533</v>
      </c>
      <c r="T72" s="162">
        <f>E72-квітень!E72</f>
        <v>0</v>
      </c>
      <c r="U72" s="182">
        <f>F72-квітень!F72</f>
        <v>0</v>
      </c>
      <c r="V72" s="167"/>
      <c r="W72" s="167"/>
      <c r="X72" s="38"/>
      <c r="Y72" s="38"/>
    </row>
    <row r="73" spans="2:25" ht="31.5">
      <c r="B73" s="23" t="s">
        <v>62</v>
      </c>
      <c r="C73" s="73">
        <v>18041500</v>
      </c>
      <c r="D73" s="180">
        <v>0</v>
      </c>
      <c r="E73" s="180"/>
      <c r="F73" s="181">
        <v>-2.64</v>
      </c>
      <c r="G73" s="162">
        <f>F73-E73</f>
        <v>-2.64</v>
      </c>
      <c r="H73" s="164"/>
      <c r="I73" s="167">
        <f>F73-D73</f>
        <v>-2.64</v>
      </c>
      <c r="J73" s="167"/>
      <c r="K73" s="167"/>
      <c r="L73" s="167"/>
      <c r="M73" s="167"/>
      <c r="N73" s="167">
        <v>-10.19</v>
      </c>
      <c r="O73" s="167">
        <f>D73-N73</f>
        <v>10.19</v>
      </c>
      <c r="P73" s="209">
        <f>D73/N73</f>
        <v>0</v>
      </c>
      <c r="Q73" s="167">
        <v>-10.19</v>
      </c>
      <c r="R73" s="167">
        <f>F73-Q73</f>
        <v>7.549999999999999</v>
      </c>
      <c r="S73" s="209">
        <f>F73/Q73</f>
        <v>0.2590775269872424</v>
      </c>
      <c r="T73" s="162">
        <f>E73-вересень!E73</f>
        <v>0</v>
      </c>
      <c r="U73" s="160">
        <f>F73-вересень!F73</f>
        <v>0</v>
      </c>
      <c r="V73" s="167">
        <f>U73-T73</f>
        <v>0</v>
      </c>
      <c r="W73" s="167"/>
      <c r="X73" s="38"/>
      <c r="Y73" s="38"/>
    </row>
    <row r="74" spans="2:25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-2.6300000000000003</v>
      </c>
      <c r="G74" s="185">
        <f>F74-E74</f>
        <v>-2.6300000000000003</v>
      </c>
      <c r="H74" s="186"/>
      <c r="I74" s="187">
        <f>F74-D74</f>
        <v>-2.6300000000000003</v>
      </c>
      <c r="J74" s="187"/>
      <c r="K74" s="187"/>
      <c r="L74" s="187"/>
      <c r="M74" s="187"/>
      <c r="N74" s="187">
        <v>-10.18</v>
      </c>
      <c r="O74" s="187">
        <f>D74-N74</f>
        <v>10.18</v>
      </c>
      <c r="P74" s="214">
        <f>D74/N74</f>
        <v>0</v>
      </c>
      <c r="Q74" s="187">
        <v>-10.19</v>
      </c>
      <c r="R74" s="187">
        <f aca="true" t="shared" si="27" ref="R74:R86">F74-Q74</f>
        <v>7.559999999999999</v>
      </c>
      <c r="S74" s="214">
        <f aca="true" t="shared" si="28" ref="S74:S89">F74/Q74</f>
        <v>0.2580961727183514</v>
      </c>
      <c r="T74" s="185">
        <f>SUM(T72:T73)</f>
        <v>0</v>
      </c>
      <c r="U74" s="188">
        <f>SUM(U72:U73)</f>
        <v>0</v>
      </c>
      <c r="V74" s="187">
        <f>U74-T74</f>
        <v>0</v>
      </c>
      <c r="W74" s="187"/>
      <c r="X74" s="39"/>
      <c r="Y74" s="39"/>
    </row>
    <row r="75" spans="2:25" ht="45.7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 aca="true" t="shared" si="29" ref="G75:G86">F75-E75</f>
        <v>35.57</v>
      </c>
      <c r="H75" s="186"/>
      <c r="I75" s="187">
        <f>F75-D75</f>
        <v>35.57</v>
      </c>
      <c r="J75" s="187"/>
      <c r="K75" s="187"/>
      <c r="L75" s="187"/>
      <c r="M75" s="187"/>
      <c r="N75" s="187">
        <v>0</v>
      </c>
      <c r="O75" s="187">
        <f aca="true" t="shared" si="30" ref="O75:O86">D75-N75</f>
        <v>0</v>
      </c>
      <c r="P75" s="214" t="e">
        <f aca="true" t="shared" si="31" ref="P75:P86">D75/N75</f>
        <v>#DIV/0!</v>
      </c>
      <c r="Q75" s="187">
        <v>0</v>
      </c>
      <c r="R75" s="187">
        <f t="shared" si="27"/>
        <v>35.57</v>
      </c>
      <c r="S75" s="209"/>
      <c r="T75" s="186">
        <f>E75-вересень!E75</f>
        <v>0</v>
      </c>
      <c r="U75" s="289">
        <f>F75-вересень!F75</f>
        <v>0</v>
      </c>
      <c r="V75" s="187">
        <f aca="true" t="shared" si="32" ref="V75:V86">U75-T75</f>
        <v>0</v>
      </c>
      <c r="W75" s="187"/>
      <c r="X75" s="38"/>
      <c r="Y75" s="38"/>
    </row>
    <row r="76" spans="2:25" ht="31.5">
      <c r="B76" s="23" t="s">
        <v>29</v>
      </c>
      <c r="C76" s="73">
        <v>31030000</v>
      </c>
      <c r="D76" s="180">
        <f>4000+100206.03-3394.99206</f>
        <v>100811.03794</v>
      </c>
      <c r="E76" s="180">
        <v>58649.11</v>
      </c>
      <c r="F76" s="181">
        <v>938.03</v>
      </c>
      <c r="G76" s="162">
        <f t="shared" si="29"/>
        <v>-57711.08</v>
      </c>
      <c r="H76" s="164">
        <f>F76/E76*100</f>
        <v>1.5993934093799547</v>
      </c>
      <c r="I76" s="167">
        <f>F76-D76</f>
        <v>-99873.00794</v>
      </c>
      <c r="J76" s="167">
        <f>F76/D76*100</f>
        <v>0.9304834263865926</v>
      </c>
      <c r="K76" s="167"/>
      <c r="L76" s="167"/>
      <c r="M76" s="167"/>
      <c r="N76" s="167">
        <v>4618.99</v>
      </c>
      <c r="O76" s="167">
        <f t="shared" si="30"/>
        <v>96192.04793999999</v>
      </c>
      <c r="P76" s="209">
        <f t="shared" si="31"/>
        <v>21.82534232375476</v>
      </c>
      <c r="Q76" s="167">
        <v>2052.2</v>
      </c>
      <c r="R76" s="167">
        <f t="shared" si="27"/>
        <v>-1114.1699999999998</v>
      </c>
      <c r="S76" s="209">
        <f t="shared" si="28"/>
        <v>0.4570850794269565</v>
      </c>
      <c r="T76" s="157">
        <f>E76-вересень!E76</f>
        <v>19149.11</v>
      </c>
      <c r="U76" s="160">
        <f>F76-вересень!F76</f>
        <v>934.22</v>
      </c>
      <c r="V76" s="167">
        <f t="shared" si="32"/>
        <v>-18214.89</v>
      </c>
      <c r="W76" s="167">
        <f>U76/T76*100</f>
        <v>4.878660157051685</v>
      </c>
      <c r="X76" s="38">
        <v>0</v>
      </c>
      <c r="Y76" s="38" t="e">
        <f>#N/A</f>
        <v>#N/A</v>
      </c>
    </row>
    <row r="77" spans="2:25" ht="18">
      <c r="B77" s="23" t="s">
        <v>30</v>
      </c>
      <c r="C77" s="73">
        <v>33010000</v>
      </c>
      <c r="D77" s="180">
        <f>8000+46000</f>
        <v>54000</v>
      </c>
      <c r="E77" s="180">
        <v>30030</v>
      </c>
      <c r="F77" s="181">
        <v>7583.2</v>
      </c>
      <c r="G77" s="162">
        <f t="shared" si="29"/>
        <v>-22446.8</v>
      </c>
      <c r="H77" s="164">
        <f>F77/E77*100</f>
        <v>25.252081252081247</v>
      </c>
      <c r="I77" s="167">
        <f aca="true" t="shared" si="33" ref="I77:I86">F77-D77</f>
        <v>-46416.8</v>
      </c>
      <c r="J77" s="167">
        <f>F77/D77*100</f>
        <v>14.042962962962962</v>
      </c>
      <c r="K77" s="167"/>
      <c r="L77" s="167"/>
      <c r="M77" s="167"/>
      <c r="N77" s="167">
        <v>10435.77</v>
      </c>
      <c r="O77" s="167">
        <f t="shared" si="30"/>
        <v>43564.229999999996</v>
      </c>
      <c r="P77" s="209">
        <f t="shared" si="31"/>
        <v>5.174510361956999</v>
      </c>
      <c r="Q77" s="167">
        <v>7241.5</v>
      </c>
      <c r="R77" s="167">
        <f t="shared" si="27"/>
        <v>341.6999999999998</v>
      </c>
      <c r="S77" s="209">
        <f t="shared" si="28"/>
        <v>1.0471863564178692</v>
      </c>
      <c r="T77" s="157">
        <f>E77-вересень!E77</f>
        <v>3600</v>
      </c>
      <c r="U77" s="160">
        <f>F77-вересень!F77</f>
        <v>1354.7399999999998</v>
      </c>
      <c r="V77" s="167">
        <f t="shared" si="32"/>
        <v>-2245.26</v>
      </c>
      <c r="W77" s="167">
        <f>U77/T77*100</f>
        <v>37.63166666666666</v>
      </c>
      <c r="X77" s="38">
        <v>200</v>
      </c>
      <c r="Y77" s="38" t="e">
        <f>#N/A</f>
        <v>#N/A</v>
      </c>
    </row>
    <row r="78" spans="2:25" ht="31.5">
      <c r="B78" s="23" t="s">
        <v>54</v>
      </c>
      <c r="C78" s="73">
        <v>24170000</v>
      </c>
      <c r="D78" s="180">
        <f>10000+69000</f>
        <v>79000</v>
      </c>
      <c r="E78" s="180">
        <v>31600</v>
      </c>
      <c r="F78" s="181">
        <v>14889.31</v>
      </c>
      <c r="G78" s="162">
        <f t="shared" si="29"/>
        <v>-16710.690000000002</v>
      </c>
      <c r="H78" s="164">
        <f>F78/E78*100</f>
        <v>47.11806962025316</v>
      </c>
      <c r="I78" s="167">
        <f t="shared" si="33"/>
        <v>-64110.69</v>
      </c>
      <c r="J78" s="167">
        <f>F78/D78*100</f>
        <v>18.847227848101262</v>
      </c>
      <c r="K78" s="167"/>
      <c r="L78" s="167"/>
      <c r="M78" s="167"/>
      <c r="N78" s="167">
        <v>12593.19</v>
      </c>
      <c r="O78" s="167">
        <f t="shared" si="30"/>
        <v>66406.81</v>
      </c>
      <c r="P78" s="209">
        <f t="shared" si="31"/>
        <v>6.273231802267733</v>
      </c>
      <c r="Q78" s="167">
        <v>12246.75</v>
      </c>
      <c r="R78" s="167">
        <f t="shared" si="27"/>
        <v>2642.5599999999995</v>
      </c>
      <c r="S78" s="209">
        <f t="shared" si="28"/>
        <v>1.2157764304815564</v>
      </c>
      <c r="T78" s="157">
        <f>E78-вересень!E78</f>
        <v>3850</v>
      </c>
      <c r="U78" s="160">
        <f>F78-вересень!F78</f>
        <v>3315.91</v>
      </c>
      <c r="V78" s="167">
        <f t="shared" si="32"/>
        <v>-534.0900000000001</v>
      </c>
      <c r="W78" s="167">
        <f>U78/T78*100</f>
        <v>86.12753246753246</v>
      </c>
      <c r="X78" s="38">
        <v>1500</v>
      </c>
      <c r="Y78" s="38" t="e">
        <f>#N/A</f>
        <v>#N/A</v>
      </c>
    </row>
    <row r="79" spans="2:25" ht="18">
      <c r="B79" s="23" t="s">
        <v>101</v>
      </c>
      <c r="C79" s="73">
        <v>24110700</v>
      </c>
      <c r="D79" s="180">
        <v>12</v>
      </c>
      <c r="E79" s="180">
        <v>10</v>
      </c>
      <c r="F79" s="181">
        <v>12</v>
      </c>
      <c r="G79" s="162">
        <f t="shared" si="29"/>
        <v>2</v>
      </c>
      <c r="H79" s="164">
        <f>F79/E79*100</f>
        <v>120</v>
      </c>
      <c r="I79" s="167">
        <f t="shared" si="33"/>
        <v>0</v>
      </c>
      <c r="J79" s="167">
        <f>F79/D79*100</f>
        <v>100</v>
      </c>
      <c r="K79" s="167"/>
      <c r="L79" s="167"/>
      <c r="M79" s="167"/>
      <c r="N79" s="167">
        <v>13</v>
      </c>
      <c r="O79" s="167">
        <f t="shared" si="30"/>
        <v>-1</v>
      </c>
      <c r="P79" s="209">
        <f t="shared" si="31"/>
        <v>0.9230769230769231</v>
      </c>
      <c r="Q79" s="167">
        <v>11</v>
      </c>
      <c r="R79" s="167">
        <f t="shared" si="27"/>
        <v>1</v>
      </c>
      <c r="S79" s="209">
        <f t="shared" si="28"/>
        <v>1.0909090909090908</v>
      </c>
      <c r="T79" s="157">
        <f>E79-вересень!E79</f>
        <v>1</v>
      </c>
      <c r="U79" s="160">
        <f>F79-вересень!F79</f>
        <v>2</v>
      </c>
      <c r="V79" s="167">
        <f t="shared" si="32"/>
        <v>1</v>
      </c>
      <c r="W79" s="167">
        <f>U79/T79*100</f>
        <v>200</v>
      </c>
      <c r="X79" s="38">
        <v>1</v>
      </c>
      <c r="Y79" s="38" t="e">
        <f>#N/A</f>
        <v>#N/A</v>
      </c>
    </row>
    <row r="80" spans="2:25" ht="33">
      <c r="B80" s="28" t="s">
        <v>51</v>
      </c>
      <c r="C80" s="65"/>
      <c r="D80" s="183">
        <f>D76+D77+D78+D79</f>
        <v>233823.03794</v>
      </c>
      <c r="E80" s="183">
        <f>E76+E77+E78+E79</f>
        <v>120289.11</v>
      </c>
      <c r="F80" s="184">
        <f>F76+F77+F78+F79</f>
        <v>23422.54</v>
      </c>
      <c r="G80" s="185">
        <f t="shared" si="29"/>
        <v>-96866.57</v>
      </c>
      <c r="H80" s="186">
        <f>F80/E80*100</f>
        <v>19.471870728780022</v>
      </c>
      <c r="I80" s="187">
        <f t="shared" si="33"/>
        <v>-210400.49794</v>
      </c>
      <c r="J80" s="187">
        <f>F80/D80*100</f>
        <v>10.017207973326531</v>
      </c>
      <c r="K80" s="187"/>
      <c r="L80" s="187"/>
      <c r="M80" s="187"/>
      <c r="N80" s="187">
        <v>27660.95</v>
      </c>
      <c r="O80" s="187">
        <f t="shared" si="30"/>
        <v>206162.08794</v>
      </c>
      <c r="P80" s="214">
        <f t="shared" si="31"/>
        <v>8.453181757676436</v>
      </c>
      <c r="Q80" s="187">
        <v>21551.45</v>
      </c>
      <c r="R80" s="167">
        <f t="shared" si="27"/>
        <v>1871.0900000000001</v>
      </c>
      <c r="S80" s="209">
        <f t="shared" si="28"/>
        <v>1.086819680346334</v>
      </c>
      <c r="T80" s="185">
        <f>T76+T77+T78+T79</f>
        <v>26600.11</v>
      </c>
      <c r="U80" s="189">
        <f>U76+U77+U78+U79</f>
        <v>5606.87</v>
      </c>
      <c r="V80" s="187">
        <f t="shared" si="32"/>
        <v>-20993.24</v>
      </c>
      <c r="W80" s="187">
        <f>U80/T80*100</f>
        <v>21.07837148041869</v>
      </c>
      <c r="X80" s="39">
        <f>SUM(X76:X79)</f>
        <v>1701</v>
      </c>
      <c r="Y80" s="39" t="e">
        <f>#N/A</f>
        <v>#N/A</v>
      </c>
    </row>
    <row r="81" spans="2:25" ht="46.5">
      <c r="B81" s="12" t="s">
        <v>40</v>
      </c>
      <c r="C81" s="75">
        <v>24062100</v>
      </c>
      <c r="D81" s="180">
        <v>40</v>
      </c>
      <c r="E81" s="180">
        <v>19</v>
      </c>
      <c r="F81" s="181">
        <v>38.14</v>
      </c>
      <c r="G81" s="162">
        <f t="shared" si="29"/>
        <v>19.14</v>
      </c>
      <c r="H81" s="164"/>
      <c r="I81" s="167">
        <f t="shared" si="33"/>
        <v>-1.8599999999999994</v>
      </c>
      <c r="J81" s="167"/>
      <c r="K81" s="167"/>
      <c r="L81" s="167"/>
      <c r="M81" s="167"/>
      <c r="N81" s="167">
        <v>69.99</v>
      </c>
      <c r="O81" s="167">
        <f t="shared" si="30"/>
        <v>-29.989999999999995</v>
      </c>
      <c r="P81" s="209">
        <f t="shared" si="31"/>
        <v>0.5715102157451065</v>
      </c>
      <c r="Q81" s="167">
        <v>35.95</v>
      </c>
      <c r="R81" s="167">
        <f t="shared" si="27"/>
        <v>2.1899999999999977</v>
      </c>
      <c r="S81" s="209">
        <f t="shared" si="28"/>
        <v>1.0609179415855354</v>
      </c>
      <c r="T81" s="157">
        <f>E81-вересень!E81</f>
        <v>0</v>
      </c>
      <c r="U81" s="160">
        <f>F81-вересень!F81</f>
        <v>0</v>
      </c>
      <c r="V81" s="167">
        <f t="shared" si="32"/>
        <v>0</v>
      </c>
      <c r="W81" s="167"/>
      <c r="X81" s="38">
        <v>1</v>
      </c>
      <c r="Y81" s="38" t="e">
        <f>#N/A</f>
        <v>#N/A</v>
      </c>
    </row>
    <row r="82" spans="2:25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 t="shared" si="29"/>
        <v>0</v>
      </c>
      <c r="H82" s="164"/>
      <c r="I82" s="167">
        <f t="shared" si="33"/>
        <v>0</v>
      </c>
      <c r="J82" s="190"/>
      <c r="K82" s="190"/>
      <c r="L82" s="190"/>
      <c r="M82" s="190"/>
      <c r="N82" s="190"/>
      <c r="O82" s="167">
        <f t="shared" si="30"/>
        <v>0</v>
      </c>
      <c r="P82" s="209" t="e">
        <f t="shared" si="31"/>
        <v>#DIV/0!</v>
      </c>
      <c r="Q82" s="167">
        <v>0</v>
      </c>
      <c r="R82" s="167">
        <f t="shared" si="27"/>
        <v>0</v>
      </c>
      <c r="S82" s="209" t="e">
        <f t="shared" si="28"/>
        <v>#DIV/0!</v>
      </c>
      <c r="T82" s="157">
        <f>E82-вересень!E82</f>
        <v>0</v>
      </c>
      <c r="U82" s="160">
        <f>F82-вересень!F82</f>
        <v>0</v>
      </c>
      <c r="V82" s="167">
        <f t="shared" si="32"/>
        <v>0</v>
      </c>
      <c r="W82" s="190"/>
      <c r="X82" s="41"/>
      <c r="Y82" s="38" t="e">
        <f>#N/A</f>
        <v>#N/A</v>
      </c>
    </row>
    <row r="83" spans="2:25" ht="18">
      <c r="B83" s="23" t="s">
        <v>46</v>
      </c>
      <c r="C83" s="73">
        <v>19010000</v>
      </c>
      <c r="D83" s="180">
        <v>8360</v>
      </c>
      <c r="E83" s="180">
        <v>6400</v>
      </c>
      <c r="F83" s="181">
        <v>6792.93</v>
      </c>
      <c r="G83" s="162">
        <f t="shared" si="29"/>
        <v>392.9300000000003</v>
      </c>
      <c r="H83" s="164">
        <f>F83/E83*100</f>
        <v>106.13953124999999</v>
      </c>
      <c r="I83" s="167">
        <f t="shared" si="33"/>
        <v>-1567.0699999999997</v>
      </c>
      <c r="J83" s="167">
        <f>F83/D83*100</f>
        <v>81.25514354066986</v>
      </c>
      <c r="K83" s="167"/>
      <c r="L83" s="167"/>
      <c r="M83" s="167"/>
      <c r="N83" s="167">
        <v>8352.68</v>
      </c>
      <c r="O83" s="167">
        <f t="shared" si="30"/>
        <v>7.319999999999709</v>
      </c>
      <c r="P83" s="209">
        <f t="shared" si="31"/>
        <v>1.0008763654300177</v>
      </c>
      <c r="Q83" s="167">
        <v>6836.07</v>
      </c>
      <c r="R83" s="167">
        <f t="shared" si="27"/>
        <v>-43.13999999999942</v>
      </c>
      <c r="S83" s="209">
        <f t="shared" si="28"/>
        <v>0.9936893566040138</v>
      </c>
      <c r="T83" s="157">
        <f>E83-вересень!E83</f>
        <v>6.300000000000182</v>
      </c>
      <c r="U83" s="160">
        <f>F83-вересень!F83</f>
        <v>217.5</v>
      </c>
      <c r="V83" s="167">
        <f t="shared" si="32"/>
        <v>211.19999999999982</v>
      </c>
      <c r="W83" s="167">
        <f>U83/T83*100</f>
        <v>3452.3809523808522</v>
      </c>
      <c r="X83" s="41">
        <v>2850</v>
      </c>
      <c r="Y83" s="288" t="e">
        <f>#N/A</f>
        <v>#N/A</v>
      </c>
    </row>
    <row r="84" spans="2:25" ht="31.5">
      <c r="B84" s="23" t="s">
        <v>50</v>
      </c>
      <c r="C84" s="73">
        <v>19050000</v>
      </c>
      <c r="D84" s="180">
        <v>0</v>
      </c>
      <c r="E84" s="180"/>
      <c r="F84" s="181">
        <v>0.08</v>
      </c>
      <c r="G84" s="162">
        <f t="shared" si="29"/>
        <v>0.08</v>
      </c>
      <c r="H84" s="164"/>
      <c r="I84" s="167">
        <f t="shared" si="33"/>
        <v>0.08</v>
      </c>
      <c r="J84" s="167"/>
      <c r="K84" s="167"/>
      <c r="L84" s="167"/>
      <c r="M84" s="167"/>
      <c r="N84" s="167">
        <v>1.48</v>
      </c>
      <c r="O84" s="167">
        <f t="shared" si="30"/>
        <v>-1.48</v>
      </c>
      <c r="P84" s="209">
        <f t="shared" si="31"/>
        <v>0</v>
      </c>
      <c r="Q84" s="167">
        <v>1.34</v>
      </c>
      <c r="R84" s="167">
        <f t="shared" si="27"/>
        <v>-1.26</v>
      </c>
      <c r="S84" s="209">
        <f t="shared" si="28"/>
        <v>0.05970149253731343</v>
      </c>
      <c r="T84" s="157">
        <f>E84-вересень!E84</f>
        <v>0</v>
      </c>
      <c r="U84" s="160">
        <f>F84-вересень!F84</f>
        <v>0</v>
      </c>
      <c r="V84" s="167">
        <f t="shared" si="32"/>
        <v>0</v>
      </c>
      <c r="W84" s="190"/>
      <c r="X84" s="38">
        <v>0</v>
      </c>
      <c r="Y84" s="38" t="e">
        <f>#N/A</f>
        <v>#N/A</v>
      </c>
    </row>
    <row r="85" spans="2:25" ht="30.75">
      <c r="B85" s="28" t="s">
        <v>47</v>
      </c>
      <c r="C85" s="73"/>
      <c r="D85" s="183">
        <f>D81+D84+D82+D83</f>
        <v>8400</v>
      </c>
      <c r="E85" s="183">
        <f>E81+E84+E82+E83</f>
        <v>6419</v>
      </c>
      <c r="F85" s="184">
        <f>F81+F84+F82+F83</f>
        <v>6831.150000000001</v>
      </c>
      <c r="G85" s="185">
        <f t="shared" si="29"/>
        <v>412.15000000000055</v>
      </c>
      <c r="H85" s="186">
        <f>F85/E85*100</f>
        <v>106.42078205327934</v>
      </c>
      <c r="I85" s="187">
        <f t="shared" si="33"/>
        <v>-1568.8499999999995</v>
      </c>
      <c r="J85" s="187">
        <f>F85/D85*100</f>
        <v>81.3232142857143</v>
      </c>
      <c r="K85" s="187"/>
      <c r="L85" s="187"/>
      <c r="M85" s="187"/>
      <c r="N85" s="187">
        <v>8424.15</v>
      </c>
      <c r="O85" s="187">
        <f t="shared" si="30"/>
        <v>-24.149999999999636</v>
      </c>
      <c r="P85" s="214">
        <f t="shared" si="31"/>
        <v>0.9971332419294529</v>
      </c>
      <c r="Q85" s="187">
        <v>6873.35</v>
      </c>
      <c r="R85" s="167">
        <f t="shared" si="27"/>
        <v>-42.19999999999982</v>
      </c>
      <c r="S85" s="209">
        <f t="shared" si="28"/>
        <v>0.9938603446645377</v>
      </c>
      <c r="T85" s="185">
        <f>T81+T84+T82+T83</f>
        <v>6.300000000000182</v>
      </c>
      <c r="U85" s="189">
        <f>U81+U84+U82+U83</f>
        <v>217.5</v>
      </c>
      <c r="V85" s="187">
        <f t="shared" si="32"/>
        <v>211.19999999999982</v>
      </c>
      <c r="W85" s="187">
        <f>U85/T85*100</f>
        <v>3452.3809523808522</v>
      </c>
      <c r="X85" s="39">
        <f>SUM(X81:X84)</f>
        <v>2851</v>
      </c>
      <c r="Y85" s="39" t="e">
        <f>#N/A</f>
        <v>#N/A</v>
      </c>
    </row>
    <row r="86" spans="2:25" ht="30.75">
      <c r="B86" s="12" t="s">
        <v>41</v>
      </c>
      <c r="C86" s="43">
        <v>24110900</v>
      </c>
      <c r="D86" s="180">
        <v>38</v>
      </c>
      <c r="E86" s="180">
        <v>35.3</v>
      </c>
      <c r="F86" s="181">
        <v>27.25</v>
      </c>
      <c r="G86" s="162">
        <f t="shared" si="29"/>
        <v>-8.049999999999997</v>
      </c>
      <c r="H86" s="164">
        <f>F86/E86*100</f>
        <v>77.19546742209631</v>
      </c>
      <c r="I86" s="167">
        <f t="shared" si="33"/>
        <v>-10.75</v>
      </c>
      <c r="J86" s="167">
        <f>F86/D86*100</f>
        <v>71.71052631578947</v>
      </c>
      <c r="K86" s="167"/>
      <c r="L86" s="167"/>
      <c r="M86" s="167"/>
      <c r="N86" s="167">
        <v>35.33</v>
      </c>
      <c r="O86" s="167">
        <f t="shared" si="30"/>
        <v>2.6700000000000017</v>
      </c>
      <c r="P86" s="209">
        <f t="shared" si="31"/>
        <v>1.075573167279932</v>
      </c>
      <c r="Q86" s="187">
        <v>27.47</v>
      </c>
      <c r="R86" s="167">
        <f t="shared" si="27"/>
        <v>-0.21999999999999886</v>
      </c>
      <c r="S86" s="209">
        <f t="shared" si="28"/>
        <v>0.9919912631962141</v>
      </c>
      <c r="T86" s="157">
        <f>E86-вересень!E86</f>
        <v>1.5999999999999943</v>
      </c>
      <c r="U86" s="160">
        <f>F86-вересень!F86</f>
        <v>2.289999999999999</v>
      </c>
      <c r="V86" s="167">
        <f t="shared" si="32"/>
        <v>0.6900000000000048</v>
      </c>
      <c r="W86" s="167">
        <f>U86/T86*100</f>
        <v>143.12500000000045</v>
      </c>
      <c r="X86" s="38">
        <v>1.2</v>
      </c>
      <c r="Y86" s="38" t="e">
        <f>#N/A</f>
        <v>#N/A</v>
      </c>
    </row>
    <row r="87" spans="2:25" ht="18" hidden="1">
      <c r="B87" s="122"/>
      <c r="C87" s="43">
        <v>21110000</v>
      </c>
      <c r="D87" s="180">
        <v>0</v>
      </c>
      <c r="E87" s="180">
        <v>0</v>
      </c>
      <c r="F87" s="181"/>
      <c r="G87" s="162" t="e">
        <f>#N/A</f>
        <v>#N/A</v>
      </c>
      <c r="H87" s="164"/>
      <c r="I87" s="167" t="e">
        <f>#N/A</f>
        <v>#N/A</v>
      </c>
      <c r="J87" s="167"/>
      <c r="K87" s="167"/>
      <c r="L87" s="167"/>
      <c r="M87" s="167"/>
      <c r="N87" s="167"/>
      <c r="O87" s="167"/>
      <c r="P87" s="209"/>
      <c r="Q87" s="167">
        <v>18.76</v>
      </c>
      <c r="R87" s="187" t="e">
        <f>#N/A</f>
        <v>#N/A</v>
      </c>
      <c r="S87" s="209">
        <f t="shared" si="28"/>
        <v>0</v>
      </c>
      <c r="T87" s="164">
        <f>E87-квітень!E87</f>
        <v>0</v>
      </c>
      <c r="U87" s="168">
        <f>F87-квітень!F87</f>
        <v>0</v>
      </c>
      <c r="V87" s="167" t="e">
        <f>#N/A</f>
        <v>#N/A</v>
      </c>
      <c r="W87" s="167"/>
      <c r="X87" s="38">
        <v>0</v>
      </c>
      <c r="Y87" s="38" t="e">
        <f>#N/A</f>
        <v>#N/A</v>
      </c>
    </row>
    <row r="88" spans="2:25" ht="23.25" customHeight="1">
      <c r="B88" s="306" t="s">
        <v>31</v>
      </c>
      <c r="C88" s="307"/>
      <c r="D88" s="308">
        <f>D74+D75+D80+D85+D86</f>
        <v>242261.03794</v>
      </c>
      <c r="E88" s="308">
        <f>E74+E75+E80+E85+E86</f>
        <v>126743.41</v>
      </c>
      <c r="F88" s="308">
        <f>F74+F75+F80+F85+F86</f>
        <v>30313.88</v>
      </c>
      <c r="G88" s="309">
        <f>F88-E88</f>
        <v>-96429.53</v>
      </c>
      <c r="H88" s="310">
        <f>F88/E88*100</f>
        <v>23.917519656446043</v>
      </c>
      <c r="I88" s="301">
        <f>F88-D88</f>
        <v>-211947.15794</v>
      </c>
      <c r="J88" s="301">
        <f>F88/D88*100</f>
        <v>12.512899415343767</v>
      </c>
      <c r="K88" s="301"/>
      <c r="L88" s="301"/>
      <c r="M88" s="301"/>
      <c r="N88" s="301">
        <v>36110.25</v>
      </c>
      <c r="O88" s="301">
        <f>D88-N88</f>
        <v>206150.78794</v>
      </c>
      <c r="P88" s="302">
        <f>D88/N88</f>
        <v>6.708927186602143</v>
      </c>
      <c r="Q88" s="308">
        <v>28442.09</v>
      </c>
      <c r="R88" s="301">
        <f>F88-Q88</f>
        <v>1871.7900000000009</v>
      </c>
      <c r="S88" s="302">
        <f t="shared" si="28"/>
        <v>1.065810564554152</v>
      </c>
      <c r="T88" s="308">
        <f>T74+T75+T80+T85+T86</f>
        <v>26608.01</v>
      </c>
      <c r="U88" s="308">
        <f>U74+U75+U80+U85+U86</f>
        <v>5826.66</v>
      </c>
      <c r="V88" s="301">
        <f>U88-T88</f>
        <v>-20781.35</v>
      </c>
      <c r="W88" s="301">
        <f>U88/T88*100</f>
        <v>21.8981427021412</v>
      </c>
      <c r="X88" s="27">
        <f>X80+X85+X86+X87</f>
        <v>4553.2</v>
      </c>
      <c r="Y88" s="27" t="e">
        <f>Y80+Y85+Y86+Y87</f>
        <v>#N/A</v>
      </c>
    </row>
    <row r="89" spans="2:25" ht="17.25">
      <c r="B89" s="311" t="s">
        <v>182</v>
      </c>
      <c r="C89" s="307"/>
      <c r="D89" s="308">
        <f>D67+D88</f>
        <v>1599752.13794</v>
      </c>
      <c r="E89" s="308">
        <f>E67+E88</f>
        <v>1241514.7100000002</v>
      </c>
      <c r="F89" s="308">
        <f>F67+F88</f>
        <v>1162358.0299999998</v>
      </c>
      <c r="G89" s="309">
        <f>F89-E89</f>
        <v>-79156.6800000004</v>
      </c>
      <c r="H89" s="310">
        <f>F89/E89*100</f>
        <v>93.62418508919637</v>
      </c>
      <c r="I89" s="301">
        <f>F89-D89</f>
        <v>-437394.10794000025</v>
      </c>
      <c r="J89" s="301">
        <f>F89/D89*100</f>
        <v>72.65863269898595</v>
      </c>
      <c r="K89" s="301"/>
      <c r="L89" s="301"/>
      <c r="M89" s="301"/>
      <c r="N89" s="301">
        <v>1089679.76</v>
      </c>
      <c r="O89" s="301">
        <f>D89-N89</f>
        <v>510072.37794000003</v>
      </c>
      <c r="P89" s="302">
        <f>D89/N89</f>
        <v>1.4680938351465755</v>
      </c>
      <c r="Q89" s="301">
        <f>Q67+Q88</f>
        <v>881093.11</v>
      </c>
      <c r="R89" s="301">
        <f>R67+R88</f>
        <v>281264.91999999987</v>
      </c>
      <c r="S89" s="302">
        <f t="shared" si="28"/>
        <v>1.3192226982685176</v>
      </c>
      <c r="T89" s="309">
        <f>T67+T88</f>
        <v>149188.11000000002</v>
      </c>
      <c r="U89" s="309">
        <f>U67+U88</f>
        <v>148142.70999999993</v>
      </c>
      <c r="V89" s="301">
        <f>U89-T89</f>
        <v>-1045.4000000000815</v>
      </c>
      <c r="W89" s="301">
        <f>U89/T89*100</f>
        <v>99.29927391666797</v>
      </c>
      <c r="X89" s="27">
        <f>X67+X88</f>
        <v>112668.9</v>
      </c>
      <c r="Y89" s="27" t="e">
        <f>Y67+Y88</f>
        <v>#N/A</v>
      </c>
    </row>
    <row r="90" spans="2:21" ht="15">
      <c r="B90" s="20" t="s">
        <v>34</v>
      </c>
      <c r="U90" s="25"/>
    </row>
    <row r="91" spans="2:25" ht="15">
      <c r="B91" s="4" t="s">
        <v>36</v>
      </c>
      <c r="C91" s="76">
        <v>0</v>
      </c>
      <c r="D91" s="4" t="s">
        <v>35</v>
      </c>
      <c r="U91" s="78"/>
      <c r="Y91" s="29"/>
    </row>
    <row r="92" spans="2:25" ht="30.75">
      <c r="B92" s="52" t="s">
        <v>53</v>
      </c>
      <c r="C92" s="29">
        <f>IF(V67&lt;0,ABS(V67/C91),0)</f>
        <v>0</v>
      </c>
      <c r="D92" s="4" t="s">
        <v>24</v>
      </c>
      <c r="G92" s="424"/>
      <c r="H92" s="424"/>
      <c r="I92" s="424"/>
      <c r="J92" s="424"/>
      <c r="K92" s="84"/>
      <c r="L92" s="84"/>
      <c r="M92" s="84"/>
      <c r="N92" s="84"/>
      <c r="O92" s="84"/>
      <c r="P92" s="342"/>
      <c r="Q92" s="84"/>
      <c r="R92" s="84"/>
      <c r="S92" s="84"/>
      <c r="W92" s="25"/>
      <c r="X92" s="25"/>
      <c r="Y92" s="25"/>
    </row>
    <row r="93" spans="2:22" ht="34.5" customHeight="1">
      <c r="B93" s="53" t="s">
        <v>55</v>
      </c>
      <c r="C93" s="81">
        <v>43039</v>
      </c>
      <c r="D93" s="29">
        <v>10846.2</v>
      </c>
      <c r="G93" s="4" t="s">
        <v>58</v>
      </c>
      <c r="U93" s="430"/>
      <c r="V93" s="430"/>
    </row>
    <row r="94" spans="3:22" ht="15">
      <c r="C94" s="81">
        <v>43038</v>
      </c>
      <c r="D94" s="29">
        <v>12345.6</v>
      </c>
      <c r="G94" s="427"/>
      <c r="H94" s="427"/>
      <c r="I94" s="118"/>
      <c r="J94" s="295"/>
      <c r="K94" s="295"/>
      <c r="L94" s="295"/>
      <c r="M94" s="295"/>
      <c r="N94" s="295"/>
      <c r="O94" s="295"/>
      <c r="P94" s="343"/>
      <c r="Q94" s="295"/>
      <c r="R94" s="295"/>
      <c r="S94" s="295"/>
      <c r="T94" s="295"/>
      <c r="U94" s="430"/>
      <c r="V94" s="430"/>
    </row>
    <row r="95" spans="3:22" ht="15.75" customHeight="1">
      <c r="C95" s="81">
        <v>43035</v>
      </c>
      <c r="D95" s="29">
        <v>10115.9</v>
      </c>
      <c r="F95" s="68"/>
      <c r="G95" s="427"/>
      <c r="H95" s="427"/>
      <c r="I95" s="118"/>
      <c r="J95" s="296"/>
      <c r="K95" s="296"/>
      <c r="L95" s="296"/>
      <c r="M95" s="296"/>
      <c r="N95" s="296"/>
      <c r="O95" s="296"/>
      <c r="P95" s="344"/>
      <c r="Q95" s="296"/>
      <c r="R95" s="296"/>
      <c r="S95" s="296"/>
      <c r="T95" s="296"/>
      <c r="U95" s="430"/>
      <c r="V95" s="430"/>
    </row>
    <row r="96" spans="3:20" ht="15.75" customHeight="1">
      <c r="C96" s="81"/>
      <c r="F96" s="68"/>
      <c r="G96" s="421"/>
      <c r="H96" s="421"/>
      <c r="I96" s="124"/>
      <c r="J96" s="295"/>
      <c r="K96" s="295"/>
      <c r="L96" s="295"/>
      <c r="M96" s="295"/>
      <c r="N96" s="295"/>
      <c r="O96" s="295"/>
      <c r="P96" s="343"/>
      <c r="Q96" s="295"/>
      <c r="R96" s="295"/>
      <c r="S96" s="295"/>
      <c r="T96" s="295"/>
    </row>
    <row r="97" spans="2:20" ht="18" customHeight="1">
      <c r="B97" s="425" t="s">
        <v>56</v>
      </c>
      <c r="C97" s="426"/>
      <c r="D97" s="133">
        <v>0</v>
      </c>
      <c r="E97" s="69"/>
      <c r="F97" s="125" t="s">
        <v>107</v>
      </c>
      <c r="G97" s="427"/>
      <c r="H97" s="427"/>
      <c r="I97" s="126"/>
      <c r="J97" s="295"/>
      <c r="K97" s="295"/>
      <c r="L97" s="295"/>
      <c r="M97" s="295"/>
      <c r="N97" s="295"/>
      <c r="O97" s="295"/>
      <c r="P97" s="343"/>
      <c r="Q97" s="295"/>
      <c r="R97" s="295"/>
      <c r="S97" s="295"/>
      <c r="T97" s="295"/>
    </row>
    <row r="98" spans="6:19" ht="9.75" customHeight="1" hidden="1">
      <c r="F98" s="68"/>
      <c r="G98" s="427"/>
      <c r="H98" s="427"/>
      <c r="I98" s="68"/>
      <c r="J98" s="69"/>
      <c r="K98" s="69"/>
      <c r="L98" s="69"/>
      <c r="M98" s="69"/>
      <c r="N98" s="69"/>
      <c r="O98" s="69"/>
      <c r="P98" s="345"/>
      <c r="Q98" s="69"/>
      <c r="R98" s="69"/>
      <c r="S98" s="69"/>
    </row>
    <row r="99" spans="2:19" ht="22.5" customHeight="1" hidden="1">
      <c r="B99" s="428" t="s">
        <v>59</v>
      </c>
      <c r="C99" s="429"/>
      <c r="D99" s="80">
        <v>0</v>
      </c>
      <c r="E99" s="51" t="s">
        <v>24</v>
      </c>
      <c r="F99" s="68"/>
      <c r="G99" s="427"/>
      <c r="H99" s="427"/>
      <c r="I99" s="68"/>
      <c r="J99" s="69"/>
      <c r="K99" s="69"/>
      <c r="L99" s="69"/>
      <c r="M99" s="69"/>
      <c r="N99" s="69"/>
      <c r="O99" s="69"/>
      <c r="P99" s="345"/>
      <c r="Q99" s="69"/>
      <c r="R99" s="69"/>
      <c r="S99" s="69"/>
    </row>
    <row r="100" spans="2:22" ht="15" hidden="1">
      <c r="B100" s="285" t="s">
        <v>195</v>
      </c>
      <c r="D100" s="68">
        <f>D48+D51+D52</f>
        <v>1060</v>
      </c>
      <c r="E100" s="68">
        <f>E48+E51+E52</f>
        <v>978</v>
      </c>
      <c r="F100" s="203">
        <f>F48+F51+F52</f>
        <v>1569.7800000000002</v>
      </c>
      <c r="G100" s="68">
        <f>G48+G51+G52</f>
        <v>591.7800000000001</v>
      </c>
      <c r="H100" s="69"/>
      <c r="I100" s="69"/>
      <c r="T100" s="29">
        <f>T48+T51+T52</f>
        <v>86</v>
      </c>
      <c r="U100" s="202">
        <f>U48+U51+U52</f>
        <v>195.47000000000006</v>
      </c>
      <c r="V100" s="29">
        <f>V48+V51+V52</f>
        <v>109.47000000000006</v>
      </c>
    </row>
    <row r="101" spans="4:22" ht="15" hidden="1">
      <c r="D101" s="78"/>
      <c r="I101" s="29"/>
      <c r="U101" s="420"/>
      <c r="V101" s="420"/>
    </row>
    <row r="102" spans="2:23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1065039.7000000002</v>
      </c>
      <c r="F102" s="229">
        <f>F9+F15+F18+F19+F23+F42+F45+F65+F59</f>
        <v>1077546.23</v>
      </c>
      <c r="G102" s="29">
        <f>F102-E102</f>
        <v>12506.529999999795</v>
      </c>
      <c r="H102" s="230">
        <f>F102/E102</f>
        <v>1.011742782921613</v>
      </c>
      <c r="I102" s="29">
        <f>F102-D102</f>
        <v>-221502.3700000001</v>
      </c>
      <c r="J102" s="230">
        <f>F102/D102</f>
        <v>0.8294887735531988</v>
      </c>
      <c r="K102" s="230"/>
      <c r="L102" s="230"/>
      <c r="M102" s="230"/>
      <c r="N102" s="230"/>
      <c r="O102" s="230"/>
      <c r="T102" s="29">
        <f>T9+T15+T17+T18+T19+T23+T42+T45+T65+T59</f>
        <v>117914.3</v>
      </c>
      <c r="U102" s="229">
        <f>U9+U15+U17+U18+U19+U23+U42+U45+U65+U59</f>
        <v>137620.43999999994</v>
      </c>
      <c r="V102" s="29">
        <f>U102-T102</f>
        <v>19706.13999999994</v>
      </c>
      <c r="W102" s="230">
        <f>U102/T102</f>
        <v>1.1671225627426016</v>
      </c>
    </row>
    <row r="103" spans="2:23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49731.6</v>
      </c>
      <c r="F103" s="229">
        <f>F43+F44+F46+F48+F50+F51+F52+F53+F54+F60+F64+F47+F66</f>
        <v>54474.05</v>
      </c>
      <c r="G103" s="29">
        <f>G43+G44+G46+G48+G50+G51+G52+G53+G54+G60+G64+G47</f>
        <v>4747.48</v>
      </c>
      <c r="H103" s="230">
        <f>F103/E103</f>
        <v>1.0953608972966886</v>
      </c>
      <c r="I103" s="29">
        <f>I43+I44+I46+I48+I50+I51+I52+I53+I54+I60+I64+I47</f>
        <v>-3963.420000000001</v>
      </c>
      <c r="J103" s="230">
        <f>F103/D103</f>
        <v>0.9320965051118622</v>
      </c>
      <c r="K103" s="230"/>
      <c r="L103" s="230"/>
      <c r="M103" s="230"/>
      <c r="N103" s="230"/>
      <c r="O103" s="230"/>
      <c r="Q103" s="29">
        <f>Q43+Q44+Q46+Q48+Q50+Q51+Q52+Q53+Q54+Q60+Q64+Q47</f>
        <v>54530.34</v>
      </c>
      <c r="R103" s="29">
        <f>R43+R44+R46+R48+R50+R51+R52+R53+R54+R60+R64+R47</f>
        <v>-51.25999999999851</v>
      </c>
      <c r="S103" s="29">
        <f>S43+S44+S46+S48+S50+S51+S52+S53+S54+S60+S64+S47</f>
        <v>20.59637693784358</v>
      </c>
      <c r="T103" s="29">
        <f>T43+T44+T46+T48+T50+T51+T52+T53+T54+T60+T64+T47+T66</f>
        <v>4665.8</v>
      </c>
      <c r="U103" s="229">
        <f>U43+U44+U46+U48+U50+U51+U52+U53+U54+U60+U64+U47+U66</f>
        <v>4695.6100000000015</v>
      </c>
      <c r="V103" s="29">
        <f>V43+V44+V46+V48+V50+V51+V52+V53+V54+V60+V64+V47</f>
        <v>29.67000000000094</v>
      </c>
      <c r="W103" s="230">
        <f>U103/T103</f>
        <v>1.0063890436795409</v>
      </c>
    </row>
    <row r="104" spans="2:23" ht="15" hidden="1">
      <c r="B104" s="4" t="s">
        <v>121</v>
      </c>
      <c r="D104" s="29">
        <f>SUM(D102:D103)</f>
        <v>1357491.1</v>
      </c>
      <c r="E104" s="29" t="e">
        <f>#N/A</f>
        <v>#N/A</v>
      </c>
      <c r="F104" s="229" t="e">
        <f>#N/A</f>
        <v>#N/A</v>
      </c>
      <c r="G104" s="29" t="e">
        <f>#N/A</f>
        <v>#N/A</v>
      </c>
      <c r="H104" s="230" t="e">
        <f>F104/E104</f>
        <v>#N/A</v>
      </c>
      <c r="I104" s="29" t="e">
        <f>#N/A</f>
        <v>#N/A</v>
      </c>
      <c r="J104" s="230" t="e">
        <f>F104/D104</f>
        <v>#N/A</v>
      </c>
      <c r="K104" s="230"/>
      <c r="L104" s="230"/>
      <c r="M104" s="230"/>
      <c r="N104" s="230"/>
      <c r="O104" s="230"/>
      <c r="Q104" s="29" t="e">
        <f>#N/A</f>
        <v>#N/A</v>
      </c>
      <c r="R104" s="29" t="e">
        <f>#N/A</f>
        <v>#N/A</v>
      </c>
      <c r="S104" s="29" t="e">
        <f>#N/A</f>
        <v>#N/A</v>
      </c>
      <c r="T104" s="29" t="e">
        <f>#N/A</f>
        <v>#N/A</v>
      </c>
      <c r="U104" s="229" t="e">
        <f>#N/A</f>
        <v>#N/A</v>
      </c>
      <c r="V104" s="29" t="e">
        <f>#N/A</f>
        <v>#N/A</v>
      </c>
      <c r="W104" s="230" t="e">
        <f>U104/T104</f>
        <v>#N/A</v>
      </c>
    </row>
    <row r="105" spans="4:25" ht="15" hidden="1">
      <c r="D105" s="29">
        <f>D67-D104</f>
        <v>0</v>
      </c>
      <c r="E105" s="29" t="e">
        <f>#N/A</f>
        <v>#N/A</v>
      </c>
      <c r="F105" s="29" t="e">
        <f>#N/A</f>
        <v>#N/A</v>
      </c>
      <c r="G105" s="29" t="e">
        <f>#N/A</f>
        <v>#N/A</v>
      </c>
      <c r="H105" s="230"/>
      <c r="I105" s="29" t="e">
        <f>#N/A</f>
        <v>#N/A</v>
      </c>
      <c r="J105" s="230"/>
      <c r="K105" s="230"/>
      <c r="L105" s="230"/>
      <c r="M105" s="230"/>
      <c r="N105" s="230"/>
      <c r="O105" s="230"/>
      <c r="Q105" s="29" t="e">
        <f>Q67-Q104</f>
        <v>#N/A</v>
      </c>
      <c r="R105" s="29" t="e">
        <f>#N/A</f>
        <v>#N/A</v>
      </c>
      <c r="S105" s="29" t="e">
        <f>#N/A</f>
        <v>#N/A</v>
      </c>
      <c r="T105" s="29" t="e">
        <f>#N/A</f>
        <v>#N/A</v>
      </c>
      <c r="U105" s="29" t="e">
        <f>#N/A</f>
        <v>#N/A</v>
      </c>
      <c r="V105" s="29" t="e">
        <f>#N/A</f>
        <v>#N/A</v>
      </c>
      <c r="W105" s="29"/>
      <c r="X105" s="29" t="e">
        <f>#N/A</f>
        <v>#N/A</v>
      </c>
      <c r="Y105" s="29"/>
    </row>
    <row r="106" ht="15" hidden="1">
      <c r="E106" s="4" t="s">
        <v>58</v>
      </c>
    </row>
    <row r="107" spans="2:5" ht="15" hidden="1">
      <c r="B107" s="245" t="s">
        <v>165</v>
      </c>
      <c r="E107" s="29">
        <f>E67-E9-E20-E29-E35</f>
        <v>116859.30000000028</v>
      </c>
    </row>
    <row r="108" spans="2:5" ht="15" hidden="1">
      <c r="B108" s="245" t="s">
        <v>166</v>
      </c>
      <c r="E108" s="29">
        <f>E88-E83-E76-E77</f>
        <v>31664.300000000003</v>
      </c>
    </row>
    <row r="109" ht="15" hidden="1"/>
    <row r="110" spans="2:25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167"/>
      <c r="N110" s="167"/>
      <c r="O110" s="167"/>
      <c r="P110" s="209"/>
      <c r="Q110" s="167"/>
      <c r="R110" s="167"/>
      <c r="S110" s="268"/>
      <c r="T110" s="266"/>
      <c r="U110" s="266"/>
      <c r="V110" s="267"/>
      <c r="W110" s="267"/>
      <c r="X110" s="270"/>
      <c r="Y110" s="270"/>
    </row>
    <row r="111" spans="2:25" ht="23.25" customHeight="1" hidden="1">
      <c r="B111" s="14" t="s">
        <v>31</v>
      </c>
      <c r="C111" s="66"/>
      <c r="D111" s="191">
        <f>D88+D110</f>
        <v>314669.25794000004</v>
      </c>
      <c r="E111" s="191">
        <f>E88+E110</f>
        <v>144845.47</v>
      </c>
      <c r="F111" s="191">
        <f>F88+F110</f>
        <v>50568.2</v>
      </c>
      <c r="G111" s="192">
        <f>F111-E111</f>
        <v>-94277.27</v>
      </c>
      <c r="H111" s="193">
        <f>F111/E111*100</f>
        <v>34.911827066459175</v>
      </c>
      <c r="I111" s="194">
        <f>F111-D111</f>
        <v>-264101.05794</v>
      </c>
      <c r="J111" s="194">
        <f>F111/D111*100</f>
        <v>16.07027020403822</v>
      </c>
      <c r="K111" s="194"/>
      <c r="L111" s="194"/>
      <c r="M111" s="194"/>
      <c r="N111" s="194"/>
      <c r="O111" s="194"/>
      <c r="P111" s="221"/>
      <c r="Q111" s="194">
        <v>3039.87</v>
      </c>
      <c r="R111" s="194">
        <f>F111-Q111</f>
        <v>47528.329999999994</v>
      </c>
      <c r="S111" s="269">
        <f>F111/Q111</f>
        <v>16.63498768039423</v>
      </c>
      <c r="T111" s="272"/>
      <c r="U111" s="272"/>
      <c r="V111" s="273"/>
      <c r="W111" s="273"/>
      <c r="X111" s="271">
        <f>U111-8104.96</f>
        <v>-8104.96</v>
      </c>
      <c r="Y111" s="271"/>
    </row>
    <row r="112" spans="2:25" ht="17.25" hidden="1">
      <c r="B112" s="21" t="s">
        <v>181</v>
      </c>
      <c r="C112" s="66"/>
      <c r="D112" s="191">
        <f>D111+D67</f>
        <v>1672160.35794</v>
      </c>
      <c r="E112" s="191">
        <f>E111+E67</f>
        <v>1259616.7700000003</v>
      </c>
      <c r="F112" s="191">
        <f>F111+F67</f>
        <v>1182612.3499999999</v>
      </c>
      <c r="G112" s="192">
        <f>F112-E112</f>
        <v>-77004.42000000039</v>
      </c>
      <c r="H112" s="193">
        <f>F112/E112*100</f>
        <v>93.88667872372004</v>
      </c>
      <c r="I112" s="194">
        <f>F112-D112</f>
        <v>-489548.00794000016</v>
      </c>
      <c r="J112" s="194">
        <f>F112/D112*100</f>
        <v>70.72362075709691</v>
      </c>
      <c r="K112" s="194"/>
      <c r="L112" s="194"/>
      <c r="M112" s="194"/>
      <c r="N112" s="194"/>
      <c r="O112" s="194"/>
      <c r="P112" s="221"/>
      <c r="Q112" s="194">
        <f>Q89+Q111</f>
        <v>884132.98</v>
      </c>
      <c r="R112" s="194">
        <f>F112-Q112</f>
        <v>298479.3699999999</v>
      </c>
      <c r="S112" s="269">
        <f>F112/Q112</f>
        <v>1.3375955616993271</v>
      </c>
      <c r="T112" s="274"/>
      <c r="U112" s="274"/>
      <c r="V112" s="273"/>
      <c r="W112" s="273"/>
      <c r="X112" s="271">
        <f>U112-42872.96</f>
        <v>-42872.96</v>
      </c>
      <c r="Y112" s="271"/>
    </row>
    <row r="113" spans="2:23" ht="15" hidden="1">
      <c r="B113" s="241" t="s">
        <v>183</v>
      </c>
      <c r="C113" s="239">
        <v>40000000</v>
      </c>
      <c r="D113" s="244" t="e">
        <f>#N/A</f>
        <v>#N/A</v>
      </c>
      <c r="E113" s="244" t="e">
        <f>#N/A</f>
        <v>#N/A</v>
      </c>
      <c r="F113" s="244" t="e">
        <f>#N/A</f>
        <v>#N/A</v>
      </c>
      <c r="G113" s="244" t="e">
        <f>#N/A</f>
        <v>#N/A</v>
      </c>
      <c r="H113" s="244" t="e">
        <f>F113/E113*100</f>
        <v>#N/A</v>
      </c>
      <c r="I113" s="36" t="e">
        <f>#N/A</f>
        <v>#N/A</v>
      </c>
      <c r="J113" s="36" t="e">
        <f>F113/D113*100</f>
        <v>#N/A</v>
      </c>
      <c r="K113" s="313"/>
      <c r="L113" s="313"/>
      <c r="M113" s="313"/>
      <c r="N113" s="313"/>
      <c r="O113" s="313"/>
      <c r="P113" s="346"/>
      <c r="W113" s="89"/>
    </row>
    <row r="114" spans="2:23" ht="15" customHeight="1" hidden="1">
      <c r="B114" s="240" t="s">
        <v>154</v>
      </c>
      <c r="C114" s="239">
        <v>41000000</v>
      </c>
      <c r="D114" s="244" t="e">
        <f>#N/A</f>
        <v>#N/A</v>
      </c>
      <c r="E114" s="244" t="e">
        <f>#N/A</f>
        <v>#N/A</v>
      </c>
      <c r="F114" s="244" t="e">
        <f>#N/A</f>
        <v>#N/A</v>
      </c>
      <c r="G114" s="244" t="e">
        <f>#N/A</f>
        <v>#N/A</v>
      </c>
      <c r="H114" s="244" t="e">
        <f>#N/A</f>
        <v>#N/A</v>
      </c>
      <c r="I114" s="36" t="e">
        <f>#N/A</f>
        <v>#N/A</v>
      </c>
      <c r="J114" s="36" t="e">
        <f>#N/A</f>
        <v>#N/A</v>
      </c>
      <c r="K114" s="313"/>
      <c r="L114" s="313"/>
      <c r="M114" s="313"/>
      <c r="N114" s="313"/>
      <c r="O114" s="313"/>
      <c r="P114" s="346"/>
      <c r="W114" s="89"/>
    </row>
    <row r="115" spans="2:23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 t="e">
        <f>#N/A</f>
        <v>#N/A</v>
      </c>
      <c r="H115" s="244" t="e">
        <f>#N/A</f>
        <v>#N/A</v>
      </c>
      <c r="I115" s="36" t="e">
        <f>#N/A</f>
        <v>#N/A</v>
      </c>
      <c r="J115" s="36" t="e">
        <f>#N/A</f>
        <v>#N/A</v>
      </c>
      <c r="K115" s="313"/>
      <c r="L115" s="313"/>
      <c r="M115" s="313"/>
      <c r="N115" s="313"/>
      <c r="O115" s="313"/>
      <c r="P115" s="346"/>
      <c r="W115" s="89"/>
    </row>
    <row r="116" spans="2:23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 t="e">
        <f>#N/A</f>
        <v>#N/A</v>
      </c>
      <c r="H116" s="244" t="e">
        <f>#N/A</f>
        <v>#N/A</v>
      </c>
      <c r="I116" s="36" t="e">
        <f>#N/A</f>
        <v>#N/A</v>
      </c>
      <c r="J116" s="36" t="e">
        <f>#N/A</f>
        <v>#N/A</v>
      </c>
      <c r="K116" s="313"/>
      <c r="L116" s="313"/>
      <c r="M116" s="313"/>
      <c r="N116" s="313"/>
      <c r="O116" s="313"/>
      <c r="P116" s="346"/>
      <c r="W116" s="89"/>
    </row>
    <row r="117" spans="2:23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 t="e">
        <f>#N/A</f>
        <v>#N/A</v>
      </c>
      <c r="H117" s="244" t="e">
        <f>#N/A</f>
        <v>#N/A</v>
      </c>
      <c r="I117" s="36" t="e">
        <f>#N/A</f>
        <v>#N/A</v>
      </c>
      <c r="J117" s="36" t="e">
        <f>#N/A</f>
        <v>#N/A</v>
      </c>
      <c r="K117" s="313"/>
      <c r="L117" s="313"/>
      <c r="M117" s="313"/>
      <c r="N117" s="313"/>
      <c r="O117" s="313"/>
      <c r="P117" s="346"/>
      <c r="W117" s="89"/>
    </row>
    <row r="118" spans="2:23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 t="e">
        <f>#N/A</f>
        <v>#N/A</v>
      </c>
      <c r="H118" s="244" t="e">
        <f>#N/A</f>
        <v>#N/A</v>
      </c>
      <c r="I118" s="36" t="e">
        <f>#N/A</f>
        <v>#N/A</v>
      </c>
      <c r="J118" s="36" t="e">
        <f>#N/A</f>
        <v>#N/A</v>
      </c>
      <c r="K118" s="313"/>
      <c r="L118" s="313"/>
      <c r="M118" s="313"/>
      <c r="N118" s="313"/>
      <c r="O118" s="313"/>
      <c r="P118" s="346"/>
      <c r="W118" s="89"/>
    </row>
    <row r="119" spans="2:23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 t="e">
        <f>#N/A</f>
        <v>#N/A</v>
      </c>
      <c r="H119" s="244" t="e">
        <f>#N/A</f>
        <v>#N/A</v>
      </c>
      <c r="I119" s="36" t="e">
        <f>#N/A</f>
        <v>#N/A</v>
      </c>
      <c r="J119" s="36" t="e">
        <f>#N/A</f>
        <v>#N/A</v>
      </c>
      <c r="K119" s="313"/>
      <c r="L119" s="313"/>
      <c r="M119" s="313"/>
      <c r="N119" s="313"/>
      <c r="O119" s="313"/>
      <c r="P119" s="346"/>
      <c r="W119" s="89"/>
    </row>
    <row r="120" spans="2:23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 t="e">
        <f>#N/A</f>
        <v>#N/A</v>
      </c>
      <c r="H120" s="244" t="e">
        <f>#N/A</f>
        <v>#N/A</v>
      </c>
      <c r="I120" s="36" t="e">
        <f>#N/A</f>
        <v>#N/A</v>
      </c>
      <c r="J120" s="36" t="e">
        <f>#N/A</f>
        <v>#N/A</v>
      </c>
      <c r="K120" s="313"/>
      <c r="L120" s="313"/>
      <c r="M120" s="313"/>
      <c r="N120" s="313"/>
      <c r="O120" s="313"/>
      <c r="P120" s="346"/>
      <c r="W120" s="89"/>
    </row>
    <row r="121" spans="2:23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 t="e">
        <f>#N/A</f>
        <v>#N/A</v>
      </c>
      <c r="H121" s="244" t="e">
        <f>#N/A</f>
        <v>#N/A</v>
      </c>
      <c r="I121" s="36" t="e">
        <f>#N/A</f>
        <v>#N/A</v>
      </c>
      <c r="J121" s="36" t="e">
        <f>#N/A</f>
        <v>#N/A</v>
      </c>
      <c r="K121" s="313"/>
      <c r="L121" s="313"/>
      <c r="M121" s="313"/>
      <c r="N121" s="313"/>
      <c r="O121" s="313"/>
      <c r="P121" s="346"/>
      <c r="W121" s="89"/>
    </row>
    <row r="122" spans="2:23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 t="e">
        <f>#N/A</f>
        <v>#N/A</v>
      </c>
      <c r="H122" s="244" t="e">
        <f>#N/A</f>
        <v>#N/A</v>
      </c>
      <c r="I122" s="36" t="e">
        <f>#N/A</f>
        <v>#N/A</v>
      </c>
      <c r="J122" s="36" t="e">
        <f>#N/A</f>
        <v>#N/A</v>
      </c>
      <c r="K122" s="313"/>
      <c r="L122" s="313"/>
      <c r="M122" s="313"/>
      <c r="N122" s="313"/>
      <c r="O122" s="313"/>
      <c r="P122" s="346"/>
      <c r="W122" s="89"/>
    </row>
    <row r="123" spans="2:23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 t="e">
        <f>#N/A</f>
        <v>#N/A</v>
      </c>
      <c r="H123" s="244" t="e">
        <f>#N/A</f>
        <v>#N/A</v>
      </c>
      <c r="I123" s="36" t="e">
        <f>#N/A</f>
        <v>#N/A</v>
      </c>
      <c r="J123" s="36" t="e">
        <f>#N/A</f>
        <v>#N/A</v>
      </c>
      <c r="K123" s="313"/>
      <c r="L123" s="313"/>
      <c r="M123" s="313"/>
      <c r="N123" s="313"/>
      <c r="O123" s="313"/>
      <c r="P123" s="346"/>
      <c r="W123" s="89"/>
    </row>
    <row r="124" spans="2:23" s="242" customFormat="1" ht="25.5" customHeight="1" hidden="1">
      <c r="B124" s="275" t="s">
        <v>158</v>
      </c>
      <c r="C124" s="276"/>
      <c r="D124" s="277" t="e">
        <f>D112+D113</f>
        <v>#N/A</v>
      </c>
      <c r="E124" s="277" t="e">
        <f>E112+E113</f>
        <v>#N/A</v>
      </c>
      <c r="F124" s="277" t="e">
        <f>F112+F113</f>
        <v>#N/A</v>
      </c>
      <c r="G124" s="278" t="e">
        <f>#N/A</f>
        <v>#N/A</v>
      </c>
      <c r="H124" s="277" t="e">
        <f>#N/A</f>
        <v>#N/A</v>
      </c>
      <c r="I124" s="279" t="e">
        <f>#N/A</f>
        <v>#N/A</v>
      </c>
      <c r="J124" s="279" t="e">
        <f>#N/A</f>
        <v>#N/A</v>
      </c>
      <c r="K124" s="314"/>
      <c r="L124" s="314"/>
      <c r="M124" s="314"/>
      <c r="N124" s="314"/>
      <c r="O124" s="314"/>
      <c r="P124" s="347"/>
      <c r="W124" s="243"/>
    </row>
    <row r="125" ht="15" hidden="1"/>
    <row r="126" ht="15" hidden="1"/>
    <row r="127" ht="15">
      <c r="D127" s="348">
        <f>F23-F24-F32-F33-F34-F35</f>
        <v>0</v>
      </c>
    </row>
  </sheetData>
  <sheetProtection/>
  <mergeCells count="35">
    <mergeCell ref="U101:V101"/>
    <mergeCell ref="G96:H96"/>
    <mergeCell ref="B97:C97"/>
    <mergeCell ref="G97:H97"/>
    <mergeCell ref="G98:H98"/>
    <mergeCell ref="B99:C99"/>
    <mergeCell ref="G99:H99"/>
    <mergeCell ref="G92:J92"/>
    <mergeCell ref="U93:V93"/>
    <mergeCell ref="G94:H94"/>
    <mergeCell ref="U94:V94"/>
    <mergeCell ref="G95:H95"/>
    <mergeCell ref="U95:V95"/>
    <mergeCell ref="V4:V5"/>
    <mergeCell ref="W4:W5"/>
    <mergeCell ref="K5:M5"/>
    <mergeCell ref="N5:P5"/>
    <mergeCell ref="Q5:S5"/>
    <mergeCell ref="X5:Y5"/>
    <mergeCell ref="F4:F5"/>
    <mergeCell ref="G4:G5"/>
    <mergeCell ref="H4:H5"/>
    <mergeCell ref="I4:I5"/>
    <mergeCell ref="J4:J5"/>
    <mergeCell ref="U4:U5"/>
    <mergeCell ref="A1:W1"/>
    <mergeCell ref="B2:D2"/>
    <mergeCell ref="A3:A5"/>
    <mergeCell ref="B3:B5"/>
    <mergeCell ref="C3:C5"/>
    <mergeCell ref="D3:D5"/>
    <mergeCell ref="F3:J3"/>
    <mergeCell ref="T3:T5"/>
    <mergeCell ref="U3:Y3"/>
    <mergeCell ref="E4:E5"/>
  </mergeCells>
  <printOptions/>
  <pageMargins left="0.5118110236220472" right="0.11811023622047245" top="0.15748031496062992" bottom="0.15748031496062992" header="0" footer="0"/>
  <pageSetup fitToHeight="2" fitToWidth="1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55"/>
  <sheetViews>
    <sheetView zoomScale="75" zoomScaleNormal="75" zoomScalePageLayoutView="0" workbookViewId="0" topLeftCell="B1">
      <pane xSplit="2" ySplit="8" topLeftCell="D80" activePane="bottomRight" state="frozen"/>
      <selection pane="topLeft" activeCell="B1" sqref="B1"/>
      <selection pane="topRight" activeCell="D1" sqref="D1"/>
      <selection pane="bottomLeft" activeCell="B9" sqref="B9"/>
      <selection pane="bottomRight" activeCell="AB18" sqref="AB18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875" style="113" customWidth="1"/>
    <col min="7" max="7" width="13.25390625" style="4" customWidth="1"/>
    <col min="8" max="8" width="11.50390625" style="4" customWidth="1"/>
    <col min="9" max="9" width="15.25390625" style="4" customWidth="1"/>
    <col min="10" max="13" width="11.75390625" style="4" hidden="1" customWidth="1"/>
    <col min="14" max="14" width="14.00390625" style="4" hidden="1" customWidth="1"/>
    <col min="15" max="15" width="11.75390625" style="4" hidden="1" customWidth="1"/>
    <col min="16" max="16" width="11.75390625" style="230" hidden="1" customWidth="1"/>
    <col min="17" max="18" width="12.25390625" style="4" hidden="1" customWidth="1"/>
    <col min="19" max="19" width="14.25390625" style="4" hidden="1" customWidth="1"/>
    <col min="20" max="20" width="12.00390625" style="4" hidden="1" customWidth="1"/>
    <col min="21" max="21" width="12.25390625" style="4" hidden="1" customWidth="1"/>
    <col min="22" max="22" width="12.625" style="4" hidden="1" customWidth="1"/>
    <col min="23" max="25" width="11.00390625" style="4" hidden="1" customWidth="1"/>
    <col min="26" max="26" width="11.375" style="312" hidden="1" customWidth="1"/>
    <col min="27" max="16384" width="9.125" style="4" customWidth="1"/>
  </cols>
  <sheetData>
    <row r="1" spans="1:26" s="1" customFormat="1" ht="26.25" customHeight="1">
      <c r="A1" s="396" t="s">
        <v>242</v>
      </c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  <c r="M1" s="396"/>
      <c r="N1" s="396"/>
      <c r="O1" s="396"/>
      <c r="P1" s="396"/>
      <c r="Q1" s="396"/>
      <c r="R1" s="396"/>
      <c r="S1" s="396"/>
      <c r="T1" s="396"/>
      <c r="U1" s="396"/>
      <c r="V1" s="396"/>
      <c r="W1" s="396"/>
      <c r="X1" s="86"/>
      <c r="Y1" s="86"/>
      <c r="Z1" s="312"/>
    </row>
    <row r="2" spans="2:26" s="1" customFormat="1" ht="15.75" customHeight="1">
      <c r="B2" s="397"/>
      <c r="C2" s="397"/>
      <c r="D2" s="397"/>
      <c r="E2" s="2"/>
      <c r="F2" s="112"/>
      <c r="G2" s="2"/>
      <c r="H2" s="2"/>
      <c r="P2" s="337"/>
      <c r="S2" s="1" t="s">
        <v>24</v>
      </c>
      <c r="W2" s="17" t="s">
        <v>24</v>
      </c>
      <c r="X2" s="17"/>
      <c r="Y2" s="17"/>
      <c r="Z2" s="312"/>
    </row>
    <row r="3" spans="1:26" s="3" customFormat="1" ht="13.5" customHeight="1">
      <c r="A3" s="398"/>
      <c r="B3" s="400"/>
      <c r="C3" s="401" t="s">
        <v>0</v>
      </c>
      <c r="D3" s="402" t="s">
        <v>150</v>
      </c>
      <c r="E3" s="32"/>
      <c r="F3" s="403" t="s">
        <v>26</v>
      </c>
      <c r="G3" s="404"/>
      <c r="H3" s="404"/>
      <c r="I3" s="404"/>
      <c r="J3" s="405"/>
      <c r="K3" s="83" t="s">
        <v>245</v>
      </c>
      <c r="L3" s="83"/>
      <c r="M3" s="83"/>
      <c r="N3" s="83" t="s">
        <v>245</v>
      </c>
      <c r="O3" s="83"/>
      <c r="P3" s="338"/>
      <c r="Q3" s="83"/>
      <c r="R3" s="83"/>
      <c r="S3" s="83"/>
      <c r="T3" s="406" t="s">
        <v>239</v>
      </c>
      <c r="U3" s="409" t="s">
        <v>241</v>
      </c>
      <c r="V3" s="409"/>
      <c r="W3" s="409"/>
      <c r="X3" s="409"/>
      <c r="Y3" s="409"/>
      <c r="Z3" s="359"/>
    </row>
    <row r="4" spans="1:25" ht="22.5" customHeight="1">
      <c r="A4" s="398"/>
      <c r="B4" s="400"/>
      <c r="C4" s="401"/>
      <c r="D4" s="402"/>
      <c r="E4" s="392" t="s">
        <v>236</v>
      </c>
      <c r="F4" s="422" t="s">
        <v>33</v>
      </c>
      <c r="G4" s="410" t="s">
        <v>237</v>
      </c>
      <c r="H4" s="407" t="s">
        <v>238</v>
      </c>
      <c r="I4" s="410" t="s">
        <v>138</v>
      </c>
      <c r="J4" s="407" t="s">
        <v>139</v>
      </c>
      <c r="K4" s="85" t="s">
        <v>246</v>
      </c>
      <c r="L4" s="204" t="s">
        <v>113</v>
      </c>
      <c r="M4" s="90" t="s">
        <v>63</v>
      </c>
      <c r="N4" s="85" t="s">
        <v>141</v>
      </c>
      <c r="O4" s="204" t="s">
        <v>113</v>
      </c>
      <c r="P4" s="339" t="s">
        <v>63</v>
      </c>
      <c r="Q4" s="85" t="s">
        <v>141</v>
      </c>
      <c r="R4" s="204" t="s">
        <v>113</v>
      </c>
      <c r="S4" s="90" t="s">
        <v>63</v>
      </c>
      <c r="T4" s="407"/>
      <c r="U4" s="394" t="s">
        <v>243</v>
      </c>
      <c r="V4" s="410" t="s">
        <v>49</v>
      </c>
      <c r="W4" s="412" t="s">
        <v>48</v>
      </c>
      <c r="X4" s="91" t="s">
        <v>64</v>
      </c>
      <c r="Y4" s="91"/>
    </row>
    <row r="5" spans="1:25" ht="67.5" customHeight="1">
      <c r="A5" s="399"/>
      <c r="B5" s="400"/>
      <c r="C5" s="401"/>
      <c r="D5" s="402"/>
      <c r="E5" s="393"/>
      <c r="F5" s="423"/>
      <c r="G5" s="411"/>
      <c r="H5" s="408"/>
      <c r="I5" s="411"/>
      <c r="J5" s="408"/>
      <c r="K5" s="413" t="s">
        <v>247</v>
      </c>
      <c r="L5" s="414"/>
      <c r="M5" s="415"/>
      <c r="N5" s="416" t="s">
        <v>248</v>
      </c>
      <c r="O5" s="417"/>
      <c r="P5" s="418"/>
      <c r="Q5" s="419" t="s">
        <v>240</v>
      </c>
      <c r="R5" s="419"/>
      <c r="S5" s="419"/>
      <c r="T5" s="408"/>
      <c r="U5" s="395"/>
      <c r="V5" s="411"/>
      <c r="W5" s="412"/>
      <c r="X5" s="434" t="s">
        <v>215</v>
      </c>
      <c r="Y5" s="435"/>
    </row>
    <row r="6" spans="1:25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/>
      <c r="L6" s="10"/>
      <c r="M6" s="10"/>
      <c r="N6" s="10"/>
      <c r="O6" s="10"/>
      <c r="P6" s="340"/>
      <c r="Q6" s="10" t="s">
        <v>25</v>
      </c>
      <c r="R6" s="10"/>
      <c r="S6" s="10" t="s">
        <v>66</v>
      </c>
      <c r="T6" s="10" t="s">
        <v>67</v>
      </c>
      <c r="U6" s="143" t="s">
        <v>68</v>
      </c>
      <c r="V6" s="10" t="s">
        <v>69</v>
      </c>
      <c r="W6" s="10" t="s">
        <v>70</v>
      </c>
      <c r="X6" s="10" t="s">
        <v>71</v>
      </c>
      <c r="Y6" s="10"/>
    </row>
    <row r="7" spans="1:25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0"/>
      <c r="P7" s="340"/>
      <c r="Q7" s="10"/>
      <c r="R7" s="10"/>
      <c r="S7" s="10"/>
      <c r="T7" s="10"/>
      <c r="U7" s="143"/>
      <c r="V7" s="10"/>
      <c r="W7" s="10"/>
      <c r="X7" s="10"/>
      <c r="Y7" s="10"/>
    </row>
    <row r="8" spans="1:26" s="6" customFormat="1" ht="17.25">
      <c r="A8" s="7"/>
      <c r="B8" s="154" t="s">
        <v>9</v>
      </c>
      <c r="C8" s="70" t="s">
        <v>10</v>
      </c>
      <c r="D8" s="151">
        <f>D9+D15+D18+D19+D23+D17</f>
        <v>1298451.1</v>
      </c>
      <c r="E8" s="151">
        <f>E9+E15+E18+E19+E23+E17</f>
        <v>946631.6</v>
      </c>
      <c r="F8" s="151">
        <f>F9+F15+F18+F19+F23+F17</f>
        <v>938231.8400000001</v>
      </c>
      <c r="G8" s="151">
        <f>F8-E8</f>
        <v>-8399.759999999893</v>
      </c>
      <c r="H8" s="152">
        <f>F8/E8*100</f>
        <v>99.1126685396938</v>
      </c>
      <c r="I8" s="153">
        <f aca="true" t="shared" si="0" ref="I8:I15">F8-D8</f>
        <v>-360219.26</v>
      </c>
      <c r="J8" s="153">
        <f aca="true" t="shared" si="1" ref="J8:J15">F8/D8*100</f>
        <v>72.25777235661782</v>
      </c>
      <c r="K8" s="153"/>
      <c r="L8" s="153"/>
      <c r="M8" s="153"/>
      <c r="N8" s="153">
        <v>984796</v>
      </c>
      <c r="O8" s="153">
        <f aca="true" t="shared" si="2" ref="O8:O20">D8-N8</f>
        <v>313655.1000000001</v>
      </c>
      <c r="P8" s="219">
        <f aca="true" t="shared" si="3" ref="P8:P20">D8/N8</f>
        <v>1.31849753654564</v>
      </c>
      <c r="Q8" s="151">
        <v>708038.65</v>
      </c>
      <c r="R8" s="151">
        <f aca="true" t="shared" si="4" ref="R8:R27">F8-Q8</f>
        <v>230193.19000000006</v>
      </c>
      <c r="S8" s="205">
        <f aca="true" t="shared" si="5" ref="S8:S20">F8/Q8</f>
        <v>1.3251138761987076</v>
      </c>
      <c r="T8" s="151">
        <f>T9+T15+T18+T19+T23+T17</f>
        <v>100820.39999999997</v>
      </c>
      <c r="U8" s="151">
        <f>U9+U15+U18+U19+U23+U17</f>
        <v>100158.36</v>
      </c>
      <c r="V8" s="151">
        <f>U8-T8</f>
        <v>-662.0399999999645</v>
      </c>
      <c r="W8" s="151">
        <f aca="true" t="shared" si="6" ref="W8:W16">U8/T8*100</f>
        <v>99.34334717973748</v>
      </c>
      <c r="X8" s="15">
        <f>X9+X15+X18+X19+X23</f>
        <v>102514</v>
      </c>
      <c r="Y8" s="15">
        <f>U8-X8</f>
        <v>-2355.6399999999994</v>
      </c>
      <c r="Z8" s="365">
        <f aca="true" t="shared" si="7" ref="Z8:Z22">S8-P8</f>
        <v>0.006616339653067627</v>
      </c>
    </row>
    <row r="9" spans="1:26" s="6" customFormat="1" ht="18">
      <c r="A9" s="8"/>
      <c r="B9" s="130" t="s">
        <v>79</v>
      </c>
      <c r="C9" s="43">
        <v>11010000</v>
      </c>
      <c r="D9" s="150">
        <v>766645</v>
      </c>
      <c r="E9" s="150">
        <v>547140</v>
      </c>
      <c r="F9" s="156">
        <v>551931.55</v>
      </c>
      <c r="G9" s="150">
        <f>F9-E9</f>
        <v>4791.550000000047</v>
      </c>
      <c r="H9" s="157">
        <f>F9/E9*100</f>
        <v>100.87574478195708</v>
      </c>
      <c r="I9" s="158">
        <f t="shared" si="0"/>
        <v>-214713.44999999995</v>
      </c>
      <c r="J9" s="158">
        <f t="shared" si="1"/>
        <v>71.99310632691794</v>
      </c>
      <c r="K9" s="158"/>
      <c r="L9" s="158"/>
      <c r="M9" s="158"/>
      <c r="N9" s="158">
        <v>541908.6</v>
      </c>
      <c r="O9" s="158">
        <f t="shared" si="2"/>
        <v>224736.40000000002</v>
      </c>
      <c r="P9" s="210">
        <f t="shared" si="3"/>
        <v>1.414712739380774</v>
      </c>
      <c r="Q9" s="227">
        <v>385326.41</v>
      </c>
      <c r="R9" s="159">
        <f t="shared" si="4"/>
        <v>166605.14000000007</v>
      </c>
      <c r="S9" s="206">
        <f t="shared" si="5"/>
        <v>1.4323740487967074</v>
      </c>
      <c r="T9" s="157">
        <f>E9-серпень!E9</f>
        <v>65900</v>
      </c>
      <c r="U9" s="160">
        <f>F9-серпень!F9</f>
        <v>67151.27000000002</v>
      </c>
      <c r="V9" s="161">
        <f>U9-T9</f>
        <v>1251.2700000000186</v>
      </c>
      <c r="W9" s="158">
        <f t="shared" si="6"/>
        <v>101.89874051593326</v>
      </c>
      <c r="X9" s="100">
        <v>71000</v>
      </c>
      <c r="Y9" s="100">
        <f>U9-X9</f>
        <v>-3848.7299999999814</v>
      </c>
      <c r="Z9" s="366">
        <f t="shared" si="7"/>
        <v>0.017661309415933468</v>
      </c>
    </row>
    <row r="10" spans="1:26" s="6" customFormat="1" ht="15" customHeight="1" hidden="1">
      <c r="A10" s="8"/>
      <c r="B10" s="121" t="s">
        <v>89</v>
      </c>
      <c r="C10" s="102">
        <v>11010100</v>
      </c>
      <c r="D10" s="103">
        <v>701317</v>
      </c>
      <c r="E10" s="103">
        <v>498306</v>
      </c>
      <c r="F10" s="140">
        <v>506064.76</v>
      </c>
      <c r="G10" s="103">
        <f aca="true" t="shared" si="8" ref="G10:G35">F10-E10</f>
        <v>7758.760000000009</v>
      </c>
      <c r="H10" s="105">
        <f aca="true" t="shared" si="9" ref="H10:H15">F10/E10*100</f>
        <v>101.55702720818131</v>
      </c>
      <c r="I10" s="104">
        <f t="shared" si="0"/>
        <v>-195252.24</v>
      </c>
      <c r="J10" s="104">
        <f t="shared" si="1"/>
        <v>72.15920332745392</v>
      </c>
      <c r="K10" s="104"/>
      <c r="L10" s="104"/>
      <c r="M10" s="104"/>
      <c r="N10" s="104">
        <v>476189.93</v>
      </c>
      <c r="O10" s="104">
        <f t="shared" si="2"/>
        <v>225127.07</v>
      </c>
      <c r="P10" s="109">
        <f t="shared" si="3"/>
        <v>1.4727673892641955</v>
      </c>
      <c r="Q10" s="106">
        <v>339269.05</v>
      </c>
      <c r="R10" s="106">
        <f t="shared" si="4"/>
        <v>166795.71000000002</v>
      </c>
      <c r="S10" s="207">
        <f t="shared" si="5"/>
        <v>1.4916325553421392</v>
      </c>
      <c r="T10" s="105">
        <f>E10-серпень!E10</f>
        <v>60404</v>
      </c>
      <c r="U10" s="144">
        <f>F10-серпень!F10</f>
        <v>62287.22999999998</v>
      </c>
      <c r="V10" s="106">
        <f aca="true" t="shared" si="10" ref="V10:V40">U10-T10</f>
        <v>1883.2299999999814</v>
      </c>
      <c r="W10" s="104">
        <f t="shared" si="6"/>
        <v>103.11772399178861</v>
      </c>
      <c r="X10" s="37"/>
      <c r="Y10" s="100" t="e">
        <f>#N/A</f>
        <v>#N/A</v>
      </c>
      <c r="Z10" s="364">
        <f t="shared" si="7"/>
        <v>0.01886516607794375</v>
      </c>
    </row>
    <row r="11" spans="1:26" s="6" customFormat="1" ht="15" customHeight="1" hidden="1">
      <c r="A11" s="8"/>
      <c r="B11" s="121" t="s">
        <v>85</v>
      </c>
      <c r="C11" s="102">
        <v>11010200</v>
      </c>
      <c r="D11" s="103">
        <v>46506</v>
      </c>
      <c r="E11" s="103">
        <v>34200</v>
      </c>
      <c r="F11" s="140">
        <v>29734.4</v>
      </c>
      <c r="G11" s="103">
        <f t="shared" si="8"/>
        <v>-4465.5999999999985</v>
      </c>
      <c r="H11" s="105">
        <f t="shared" si="9"/>
        <v>86.94269005847953</v>
      </c>
      <c r="I11" s="104">
        <f t="shared" si="0"/>
        <v>-16771.6</v>
      </c>
      <c r="J11" s="104">
        <f t="shared" si="1"/>
        <v>63.93669634025717</v>
      </c>
      <c r="K11" s="104"/>
      <c r="L11" s="104"/>
      <c r="M11" s="104"/>
      <c r="N11" s="104">
        <v>42401.33</v>
      </c>
      <c r="O11" s="104">
        <f t="shared" si="2"/>
        <v>4104.669999999998</v>
      </c>
      <c r="P11" s="109">
        <f t="shared" si="3"/>
        <v>1.0968052181382046</v>
      </c>
      <c r="Q11" s="106">
        <v>28497.47</v>
      </c>
      <c r="R11" s="106">
        <f t="shared" si="4"/>
        <v>1236.9300000000003</v>
      </c>
      <c r="S11" s="207">
        <f t="shared" si="5"/>
        <v>1.043404905768828</v>
      </c>
      <c r="T11" s="105">
        <f>E11-серпень!E11</f>
        <v>4020</v>
      </c>
      <c r="U11" s="144">
        <f>F11-серпень!F11</f>
        <v>3564.8600000000006</v>
      </c>
      <c r="V11" s="106">
        <f t="shared" si="10"/>
        <v>-455.1399999999994</v>
      </c>
      <c r="W11" s="104">
        <f t="shared" si="6"/>
        <v>88.67810945273634</v>
      </c>
      <c r="X11" s="37"/>
      <c r="Y11" s="100" t="e">
        <f>#N/A</f>
        <v>#N/A</v>
      </c>
      <c r="Z11" s="364">
        <f t="shared" si="7"/>
        <v>-0.0534003123693767</v>
      </c>
    </row>
    <row r="12" spans="1:26" s="6" customFormat="1" ht="15" customHeight="1" hidden="1">
      <c r="A12" s="8"/>
      <c r="B12" s="121" t="s">
        <v>88</v>
      </c>
      <c r="C12" s="102">
        <v>11010400</v>
      </c>
      <c r="D12" s="103">
        <v>8280</v>
      </c>
      <c r="E12" s="103">
        <v>6180</v>
      </c>
      <c r="F12" s="140">
        <v>7538.64</v>
      </c>
      <c r="G12" s="103">
        <f t="shared" si="8"/>
        <v>1358.6400000000003</v>
      </c>
      <c r="H12" s="105">
        <f t="shared" si="9"/>
        <v>121.98446601941748</v>
      </c>
      <c r="I12" s="104">
        <f t="shared" si="0"/>
        <v>-741.3599999999997</v>
      </c>
      <c r="J12" s="104">
        <f t="shared" si="1"/>
        <v>91.04637681159421</v>
      </c>
      <c r="K12" s="104"/>
      <c r="L12" s="104"/>
      <c r="M12" s="104"/>
      <c r="N12" s="104">
        <v>10663.92</v>
      </c>
      <c r="O12" s="104">
        <f t="shared" si="2"/>
        <v>-2383.92</v>
      </c>
      <c r="P12" s="109">
        <f t="shared" si="3"/>
        <v>0.7764499358584835</v>
      </c>
      <c r="Q12" s="106">
        <v>7409.72</v>
      </c>
      <c r="R12" s="106">
        <f t="shared" si="4"/>
        <v>128.92000000000007</v>
      </c>
      <c r="S12" s="207">
        <f t="shared" si="5"/>
        <v>1.0173987681045977</v>
      </c>
      <c r="T12" s="105">
        <f>E12-серпень!E12</f>
        <v>900</v>
      </c>
      <c r="U12" s="144">
        <f>F12-серпень!F12</f>
        <v>910.3600000000006</v>
      </c>
      <c r="V12" s="106">
        <f t="shared" si="10"/>
        <v>10.360000000000582</v>
      </c>
      <c r="W12" s="104">
        <f t="shared" si="6"/>
        <v>101.15111111111116</v>
      </c>
      <c r="X12" s="37"/>
      <c r="Y12" s="100" t="e">
        <f>#N/A</f>
        <v>#N/A</v>
      </c>
      <c r="Z12" s="364">
        <f t="shared" si="7"/>
        <v>0.2409488322461142</v>
      </c>
    </row>
    <row r="13" spans="1:26" s="6" customFormat="1" ht="15" customHeight="1" hidden="1">
      <c r="A13" s="8"/>
      <c r="B13" s="121" t="s">
        <v>86</v>
      </c>
      <c r="C13" s="102">
        <v>11010500</v>
      </c>
      <c r="D13" s="103">
        <v>9390</v>
      </c>
      <c r="E13" s="103">
        <v>7590</v>
      </c>
      <c r="F13" s="140">
        <v>7557.3</v>
      </c>
      <c r="G13" s="103">
        <f t="shared" si="8"/>
        <v>-32.69999999999982</v>
      </c>
      <c r="H13" s="105">
        <f t="shared" si="9"/>
        <v>99.56916996047431</v>
      </c>
      <c r="I13" s="104">
        <f t="shared" si="0"/>
        <v>-1832.6999999999998</v>
      </c>
      <c r="J13" s="104">
        <f t="shared" si="1"/>
        <v>80.48242811501598</v>
      </c>
      <c r="K13" s="104"/>
      <c r="L13" s="104"/>
      <c r="M13" s="104"/>
      <c r="N13" s="104">
        <v>9532.64</v>
      </c>
      <c r="O13" s="104">
        <f t="shared" si="2"/>
        <v>-142.63999999999942</v>
      </c>
      <c r="P13" s="109">
        <f t="shared" si="3"/>
        <v>0.9850366739958711</v>
      </c>
      <c r="Q13" s="106">
        <v>7511.25</v>
      </c>
      <c r="R13" s="106">
        <f t="shared" si="4"/>
        <v>46.05000000000018</v>
      </c>
      <c r="S13" s="207">
        <f t="shared" si="5"/>
        <v>1.0061308037943086</v>
      </c>
      <c r="T13" s="105">
        <f>E13-серпень!E13</f>
        <v>480</v>
      </c>
      <c r="U13" s="144">
        <f>F13-серпень!F13</f>
        <v>281.84000000000015</v>
      </c>
      <c r="V13" s="106">
        <f t="shared" si="10"/>
        <v>-198.15999999999985</v>
      </c>
      <c r="W13" s="104">
        <f t="shared" si="6"/>
        <v>58.7166666666667</v>
      </c>
      <c r="X13" s="37"/>
      <c r="Y13" s="100" t="e">
        <f>#N/A</f>
        <v>#N/A</v>
      </c>
      <c r="Z13" s="364">
        <f t="shared" si="7"/>
        <v>0.0210941297984375</v>
      </c>
    </row>
    <row r="14" spans="1:26" s="6" customFormat="1" ht="15" customHeight="1" hidden="1">
      <c r="A14" s="8"/>
      <c r="B14" s="121" t="s">
        <v>87</v>
      </c>
      <c r="C14" s="102">
        <v>11010900</v>
      </c>
      <c r="D14" s="103">
        <v>1152</v>
      </c>
      <c r="E14" s="103">
        <v>864</v>
      </c>
      <c r="F14" s="140">
        <v>1036.45</v>
      </c>
      <c r="G14" s="103">
        <f t="shared" si="8"/>
        <v>172.45000000000005</v>
      </c>
      <c r="H14" s="105">
        <f t="shared" si="9"/>
        <v>119.95949074074075</v>
      </c>
      <c r="I14" s="104">
        <f t="shared" si="0"/>
        <v>-115.54999999999995</v>
      </c>
      <c r="J14" s="104">
        <f t="shared" si="1"/>
        <v>89.96961805555556</v>
      </c>
      <c r="K14" s="104"/>
      <c r="L14" s="104"/>
      <c r="M14" s="104"/>
      <c r="N14" s="104">
        <v>3120.73</v>
      </c>
      <c r="O14" s="104">
        <f t="shared" si="2"/>
        <v>-1968.73</v>
      </c>
      <c r="P14" s="109">
        <f t="shared" si="3"/>
        <v>0.36914439890666606</v>
      </c>
      <c r="Q14" s="106">
        <v>2638.91</v>
      </c>
      <c r="R14" s="106">
        <f t="shared" si="4"/>
        <v>-1602.4599999999998</v>
      </c>
      <c r="S14" s="207">
        <f t="shared" si="5"/>
        <v>0.3927568579451365</v>
      </c>
      <c r="T14" s="105">
        <f>E14-серпень!E14</f>
        <v>96</v>
      </c>
      <c r="U14" s="144">
        <f>F14-серпень!F14</f>
        <v>106.98000000000002</v>
      </c>
      <c r="V14" s="106">
        <f t="shared" si="10"/>
        <v>10.980000000000018</v>
      </c>
      <c r="W14" s="104">
        <f t="shared" si="6"/>
        <v>111.43750000000001</v>
      </c>
      <c r="X14" s="37"/>
      <c r="Y14" s="100" t="e">
        <f>#N/A</f>
        <v>#N/A</v>
      </c>
      <c r="Z14" s="364">
        <f t="shared" si="7"/>
        <v>0.023612459038470424</v>
      </c>
    </row>
    <row r="15" spans="1:26" s="6" customFormat="1" ht="30.75">
      <c r="A15" s="8"/>
      <c r="B15" s="131" t="s">
        <v>11</v>
      </c>
      <c r="C15" s="43">
        <v>11020200</v>
      </c>
      <c r="D15" s="150">
        <v>551</v>
      </c>
      <c r="E15" s="150">
        <f>341+110</f>
        <v>451</v>
      </c>
      <c r="F15" s="156">
        <v>376.81</v>
      </c>
      <c r="G15" s="150">
        <f t="shared" si="8"/>
        <v>-74.19</v>
      </c>
      <c r="H15" s="157">
        <f t="shared" si="9"/>
        <v>83.54988913525499</v>
      </c>
      <c r="I15" s="158">
        <f t="shared" si="0"/>
        <v>-174.19</v>
      </c>
      <c r="J15" s="158">
        <f t="shared" si="1"/>
        <v>68.38656987295826</v>
      </c>
      <c r="K15" s="158"/>
      <c r="L15" s="158"/>
      <c r="M15" s="158"/>
      <c r="N15" s="158">
        <v>459.29</v>
      </c>
      <c r="O15" s="158">
        <f t="shared" si="2"/>
        <v>91.70999999999998</v>
      </c>
      <c r="P15" s="210">
        <f t="shared" si="3"/>
        <v>1.1996777635045395</v>
      </c>
      <c r="Q15" s="161">
        <v>386.82</v>
      </c>
      <c r="R15" s="161">
        <f t="shared" si="4"/>
        <v>-10.009999999999991</v>
      </c>
      <c r="S15" s="208">
        <f t="shared" si="5"/>
        <v>0.9741223307998552</v>
      </c>
      <c r="T15" s="157">
        <f>E15-серпень!E15</f>
        <v>0</v>
      </c>
      <c r="U15" s="160">
        <f>F15-серпень!F15</f>
        <v>51</v>
      </c>
      <c r="V15" s="161">
        <f t="shared" si="10"/>
        <v>51</v>
      </c>
      <c r="W15" s="158" t="e">
        <f t="shared" si="6"/>
        <v>#DIV/0!</v>
      </c>
      <c r="X15" s="37">
        <v>0</v>
      </c>
      <c r="Y15" s="100" t="e">
        <f>#N/A</f>
        <v>#N/A</v>
      </c>
      <c r="Z15" s="363">
        <f t="shared" si="7"/>
        <v>-0.22555543270468426</v>
      </c>
    </row>
    <row r="16" spans="1:26" s="6" customFormat="1" ht="18" customHeight="1" hidden="1">
      <c r="A16" s="8"/>
      <c r="B16" s="361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150">
        <f t="shared" si="8"/>
        <v>0</v>
      </c>
      <c r="H16" s="157" t="e">
        <f>F16/E16/100</f>
        <v>#DIV/0!</v>
      </c>
      <c r="I16" s="158">
        <f aca="true" t="shared" si="11" ref="I16:I40">F16-D16</f>
        <v>0</v>
      </c>
      <c r="J16" s="158" t="e">
        <f aca="true" t="shared" si="12" ref="J16:J39">F16/D16*100</f>
        <v>#DIV/0!</v>
      </c>
      <c r="K16" s="158"/>
      <c r="L16" s="158"/>
      <c r="M16" s="158"/>
      <c r="N16" s="158"/>
      <c r="O16" s="158">
        <f t="shared" si="2"/>
        <v>0</v>
      </c>
      <c r="P16" s="210" t="e">
        <f t="shared" si="3"/>
        <v>#DIV/0!</v>
      </c>
      <c r="Q16" s="106">
        <v>0</v>
      </c>
      <c r="R16" s="161">
        <f t="shared" si="4"/>
        <v>0</v>
      </c>
      <c r="S16" s="208" t="e">
        <f t="shared" si="5"/>
        <v>#DIV/0!</v>
      </c>
      <c r="T16" s="157">
        <f>E16-серпень!E16</f>
        <v>0</v>
      </c>
      <c r="U16" s="160">
        <f>F16-серпень!F16</f>
        <v>0</v>
      </c>
      <c r="V16" s="161">
        <f t="shared" si="10"/>
        <v>0</v>
      </c>
      <c r="W16" s="158" t="e">
        <f t="shared" si="6"/>
        <v>#DIV/0!</v>
      </c>
      <c r="X16" s="104">
        <f>U16-358.81</f>
        <v>-358.81</v>
      </c>
      <c r="Y16" s="100" t="e">
        <f>#N/A</f>
        <v>#N/A</v>
      </c>
      <c r="Z16" s="363" t="e">
        <f t="shared" si="7"/>
        <v>#DIV/0!</v>
      </c>
    </row>
    <row r="17" spans="1:26" s="6" customFormat="1" ht="30.75" customHeight="1">
      <c r="A17" s="8"/>
      <c r="B17" s="225" t="s">
        <v>116</v>
      </c>
      <c r="C17" s="120">
        <v>13010200</v>
      </c>
      <c r="D17" s="162">
        <v>0</v>
      </c>
      <c r="E17" s="162">
        <v>0</v>
      </c>
      <c r="F17" s="163">
        <v>0.49</v>
      </c>
      <c r="G17" s="150">
        <f t="shared" si="8"/>
        <v>0.49</v>
      </c>
      <c r="H17" s="157"/>
      <c r="I17" s="158">
        <f t="shared" si="11"/>
        <v>0.49</v>
      </c>
      <c r="J17" s="158"/>
      <c r="K17" s="158"/>
      <c r="L17" s="158"/>
      <c r="M17" s="158"/>
      <c r="N17" s="158">
        <v>0.17</v>
      </c>
      <c r="O17" s="158">
        <f t="shared" si="2"/>
        <v>-0.17</v>
      </c>
      <c r="P17" s="210">
        <f t="shared" si="3"/>
        <v>0</v>
      </c>
      <c r="Q17" s="167">
        <v>0.17</v>
      </c>
      <c r="R17" s="161">
        <f t="shared" si="4"/>
        <v>0.31999999999999995</v>
      </c>
      <c r="S17" s="208">
        <f t="shared" si="5"/>
        <v>2.88235294117647</v>
      </c>
      <c r="T17" s="157">
        <f>E17-серпень!E17</f>
        <v>0</v>
      </c>
      <c r="U17" s="160">
        <f>F17-серпень!F17</f>
        <v>0</v>
      </c>
      <c r="V17" s="161">
        <f t="shared" si="10"/>
        <v>0</v>
      </c>
      <c r="W17" s="158"/>
      <c r="X17" s="104"/>
      <c r="Y17" s="100" t="e">
        <f>#N/A</f>
        <v>#N/A</v>
      </c>
      <c r="Z17" s="363">
        <f t="shared" si="7"/>
        <v>2.88235294117647</v>
      </c>
    </row>
    <row r="18" spans="1:26" s="6" customFormat="1" ht="30.75">
      <c r="A18" s="8"/>
      <c r="B18" s="130" t="s">
        <v>117</v>
      </c>
      <c r="C18" s="43" t="s">
        <v>58</v>
      </c>
      <c r="D18" s="150">
        <v>125</v>
      </c>
      <c r="E18" s="150">
        <v>90</v>
      </c>
      <c r="F18" s="156">
        <v>147.46</v>
      </c>
      <c r="G18" s="150">
        <f t="shared" si="8"/>
        <v>57.46000000000001</v>
      </c>
      <c r="H18" s="157">
        <f>F18/E18*100</f>
        <v>163.84444444444446</v>
      </c>
      <c r="I18" s="158">
        <f t="shared" si="11"/>
        <v>22.460000000000008</v>
      </c>
      <c r="J18" s="158">
        <f t="shared" si="12"/>
        <v>117.968</v>
      </c>
      <c r="K18" s="158"/>
      <c r="L18" s="158"/>
      <c r="M18" s="158"/>
      <c r="N18" s="158">
        <v>124.7</v>
      </c>
      <c r="O18" s="158">
        <f t="shared" si="2"/>
        <v>0.29999999999999716</v>
      </c>
      <c r="P18" s="210">
        <f t="shared" si="3"/>
        <v>1.0024057738572574</v>
      </c>
      <c r="Q18" s="161">
        <v>105.8</v>
      </c>
      <c r="R18" s="161">
        <f t="shared" si="4"/>
        <v>41.66000000000001</v>
      </c>
      <c r="S18" s="208">
        <f t="shared" si="5"/>
        <v>1.3937618147448017</v>
      </c>
      <c r="T18" s="157">
        <f>E18-серпень!E18</f>
        <v>0</v>
      </c>
      <c r="U18" s="160">
        <f>F18-серпень!F18</f>
        <v>0</v>
      </c>
      <c r="V18" s="161">
        <f t="shared" si="10"/>
        <v>0</v>
      </c>
      <c r="W18" s="158" t="e">
        <f aca="true" t="shared" si="13" ref="W18:W24">U18/T18*100</f>
        <v>#DIV/0!</v>
      </c>
      <c r="X18" s="37">
        <v>0</v>
      </c>
      <c r="Y18" s="100" t="e">
        <f>#N/A</f>
        <v>#N/A</v>
      </c>
      <c r="Z18" s="363">
        <f t="shared" si="7"/>
        <v>0.3913560408875443</v>
      </c>
    </row>
    <row r="19" spans="1:26" s="6" customFormat="1" ht="18">
      <c r="A19" s="8"/>
      <c r="B19" s="130" t="s">
        <v>172</v>
      </c>
      <c r="C19" s="43"/>
      <c r="D19" s="150">
        <f>D20+D21+D22</f>
        <v>130000</v>
      </c>
      <c r="E19" s="150">
        <v>94800</v>
      </c>
      <c r="F19" s="223">
        <v>70131.45</v>
      </c>
      <c r="G19" s="150">
        <f t="shared" si="8"/>
        <v>-24668.550000000003</v>
      </c>
      <c r="H19" s="157">
        <f aca="true" t="shared" si="14" ref="H19:H39">F19/E19*100</f>
        <v>73.97832278481012</v>
      </c>
      <c r="I19" s="158">
        <f t="shared" si="11"/>
        <v>-59868.55</v>
      </c>
      <c r="J19" s="158">
        <f t="shared" si="12"/>
        <v>53.94726923076922</v>
      </c>
      <c r="K19" s="158"/>
      <c r="L19" s="158"/>
      <c r="M19" s="158"/>
      <c r="N19" s="158">
        <v>101799.72</v>
      </c>
      <c r="O19" s="158">
        <f t="shared" si="2"/>
        <v>28200.28</v>
      </c>
      <c r="P19" s="210">
        <f t="shared" si="3"/>
        <v>1.2770172648804927</v>
      </c>
      <c r="Q19" s="161">
        <v>74352.8</v>
      </c>
      <c r="R19" s="161">
        <f t="shared" si="4"/>
        <v>-4221.350000000006</v>
      </c>
      <c r="S19" s="208">
        <f t="shared" si="5"/>
        <v>0.943225406440645</v>
      </c>
      <c r="T19" s="157">
        <f>E19-серпень!E19</f>
        <v>11800</v>
      </c>
      <c r="U19" s="160">
        <f>F19-серпень!F19</f>
        <v>5412.919999999998</v>
      </c>
      <c r="V19" s="161">
        <f t="shared" si="10"/>
        <v>-6387.080000000002</v>
      </c>
      <c r="W19" s="158">
        <f t="shared" si="13"/>
        <v>45.872203389830496</v>
      </c>
      <c r="X19" s="294">
        <v>8800</v>
      </c>
      <c r="Y19" s="100" t="e">
        <f>#N/A</f>
        <v>#N/A</v>
      </c>
      <c r="Z19" s="363">
        <f t="shared" si="7"/>
        <v>-0.3337918584398477</v>
      </c>
    </row>
    <row r="20" spans="1:26" s="6" customFormat="1" ht="61.5">
      <c r="A20" s="8"/>
      <c r="B20" s="252" t="s">
        <v>205</v>
      </c>
      <c r="C20" s="123">
        <v>14040000</v>
      </c>
      <c r="D20" s="253">
        <v>76500</v>
      </c>
      <c r="E20" s="253">
        <v>56250</v>
      </c>
      <c r="F20" s="201">
        <v>47079.08</v>
      </c>
      <c r="G20" s="253">
        <f t="shared" si="8"/>
        <v>-9170.919999999998</v>
      </c>
      <c r="H20" s="195">
        <f t="shared" si="14"/>
        <v>83.69614222222222</v>
      </c>
      <c r="I20" s="254">
        <f t="shared" si="11"/>
        <v>-29420.92</v>
      </c>
      <c r="J20" s="254">
        <f t="shared" si="12"/>
        <v>61.54128104575164</v>
      </c>
      <c r="K20" s="254"/>
      <c r="L20" s="254"/>
      <c r="M20" s="254"/>
      <c r="N20" s="254">
        <v>101799.72</v>
      </c>
      <c r="O20" s="254">
        <f t="shared" si="2"/>
        <v>-25299.72</v>
      </c>
      <c r="P20" s="305">
        <f t="shared" si="3"/>
        <v>0.7514755443335207</v>
      </c>
      <c r="Q20" s="166">
        <v>74352.8</v>
      </c>
      <c r="R20" s="166">
        <f t="shared" si="4"/>
        <v>-27273.72</v>
      </c>
      <c r="S20" s="256">
        <f t="shared" si="5"/>
        <v>0.6331850313639836</v>
      </c>
      <c r="T20" s="195">
        <f>E20-серпень!E20</f>
        <v>6850</v>
      </c>
      <c r="U20" s="179">
        <f>F20-серпень!F20</f>
        <v>5412.93</v>
      </c>
      <c r="V20" s="166">
        <f t="shared" si="10"/>
        <v>-1437.0699999999997</v>
      </c>
      <c r="W20" s="254">
        <f t="shared" si="13"/>
        <v>79.02087591240875</v>
      </c>
      <c r="X20" s="104">
        <v>4450</v>
      </c>
      <c r="Y20" s="104" t="e">
        <f>#N/A</f>
        <v>#N/A</v>
      </c>
      <c r="Z20" s="363">
        <f t="shared" si="7"/>
        <v>-0.11829051296953708</v>
      </c>
    </row>
    <row r="21" spans="1:26" s="6" customFormat="1" ht="18">
      <c r="A21" s="8"/>
      <c r="B21" s="252" t="s">
        <v>170</v>
      </c>
      <c r="C21" s="123">
        <v>14021900</v>
      </c>
      <c r="D21" s="253">
        <v>10700</v>
      </c>
      <c r="E21" s="253">
        <v>7750</v>
      </c>
      <c r="F21" s="201">
        <v>4942.32</v>
      </c>
      <c r="G21" s="253">
        <f t="shared" si="8"/>
        <v>-2807.6800000000003</v>
      </c>
      <c r="H21" s="195">
        <f t="shared" si="14"/>
        <v>63.771870967741926</v>
      </c>
      <c r="I21" s="254">
        <f t="shared" si="11"/>
        <v>-5757.68</v>
      </c>
      <c r="J21" s="254">
        <f t="shared" si="12"/>
        <v>46.18990654205607</v>
      </c>
      <c r="K21" s="254"/>
      <c r="L21" s="254"/>
      <c r="M21" s="254"/>
      <c r="N21" s="254"/>
      <c r="O21" s="254"/>
      <c r="P21" s="305"/>
      <c r="Q21" s="255">
        <v>0</v>
      </c>
      <c r="R21" s="166">
        <f t="shared" si="4"/>
        <v>4942.32</v>
      </c>
      <c r="S21" s="256"/>
      <c r="T21" s="195">
        <f>E21-серпень!E21</f>
        <v>950</v>
      </c>
      <c r="U21" s="179">
        <f>F21-серпень!F21</f>
        <v>0</v>
      </c>
      <c r="V21" s="166">
        <f t="shared" si="10"/>
        <v>-950</v>
      </c>
      <c r="W21" s="254">
        <f t="shared" si="13"/>
        <v>0</v>
      </c>
      <c r="X21" s="104">
        <v>900</v>
      </c>
      <c r="Y21" s="104" t="e">
        <f>#N/A</f>
        <v>#N/A</v>
      </c>
      <c r="Z21" s="363">
        <f t="shared" si="7"/>
        <v>0</v>
      </c>
    </row>
    <row r="22" spans="1:26" s="6" customFormat="1" ht="18">
      <c r="A22" s="8"/>
      <c r="B22" s="252" t="s">
        <v>171</v>
      </c>
      <c r="C22" s="123">
        <v>14031900</v>
      </c>
      <c r="D22" s="253">
        <v>42800</v>
      </c>
      <c r="E22" s="253">
        <v>30800</v>
      </c>
      <c r="F22" s="201">
        <v>18110.05</v>
      </c>
      <c r="G22" s="253">
        <f t="shared" si="8"/>
        <v>-12689.95</v>
      </c>
      <c r="H22" s="195">
        <f t="shared" si="14"/>
        <v>58.79886363636363</v>
      </c>
      <c r="I22" s="254">
        <f t="shared" si="11"/>
        <v>-24689.95</v>
      </c>
      <c r="J22" s="254">
        <f t="shared" si="12"/>
        <v>42.313200934579434</v>
      </c>
      <c r="K22" s="254"/>
      <c r="L22" s="254"/>
      <c r="M22" s="254"/>
      <c r="N22" s="254"/>
      <c r="O22" s="254"/>
      <c r="P22" s="305"/>
      <c r="Q22" s="255">
        <v>0</v>
      </c>
      <c r="R22" s="166">
        <f t="shared" si="4"/>
        <v>18110.05</v>
      </c>
      <c r="S22" s="256"/>
      <c r="T22" s="195">
        <f>E22-серпень!E22</f>
        <v>4000</v>
      </c>
      <c r="U22" s="179">
        <f>F22-серпень!F22</f>
        <v>0</v>
      </c>
      <c r="V22" s="166">
        <f t="shared" si="10"/>
        <v>-4000</v>
      </c>
      <c r="W22" s="254">
        <f t="shared" si="13"/>
        <v>0</v>
      </c>
      <c r="X22" s="104">
        <v>3800</v>
      </c>
      <c r="Y22" s="104" t="e">
        <f>#N/A</f>
        <v>#N/A</v>
      </c>
      <c r="Z22" s="363">
        <f t="shared" si="7"/>
        <v>0</v>
      </c>
    </row>
    <row r="23" spans="1:26" s="6" customFormat="1" ht="18">
      <c r="A23" s="8"/>
      <c r="B23" s="362" t="s">
        <v>73</v>
      </c>
      <c r="C23" s="43">
        <v>18000000</v>
      </c>
      <c r="D23" s="150">
        <f>D24+D33+D35+D32</f>
        <v>401130.1</v>
      </c>
      <c r="E23" s="150">
        <f>E24+E33+E35+E32</f>
        <v>304150.6</v>
      </c>
      <c r="F23" s="223">
        <f>F24+F32+F33+F34+F35</f>
        <v>315644.08</v>
      </c>
      <c r="G23" s="150">
        <f t="shared" si="8"/>
        <v>11493.48000000004</v>
      </c>
      <c r="H23" s="157">
        <f t="shared" si="14"/>
        <v>103.77887796374561</v>
      </c>
      <c r="I23" s="158">
        <f t="shared" si="11"/>
        <v>-85486.01999999996</v>
      </c>
      <c r="J23" s="158">
        <f t="shared" si="12"/>
        <v>78.68870473694196</v>
      </c>
      <c r="K23" s="158"/>
      <c r="L23" s="158"/>
      <c r="M23" s="158"/>
      <c r="N23" s="158">
        <v>340503.51</v>
      </c>
      <c r="O23" s="158">
        <f aca="true" t="shared" si="15" ref="O23:O39">D23-N23</f>
        <v>60626.58999999997</v>
      </c>
      <c r="P23" s="210">
        <f aca="true" t="shared" si="16" ref="P23:P39">D23/N23</f>
        <v>1.1780498239210515</v>
      </c>
      <c r="Q23" s="158">
        <v>247866.66</v>
      </c>
      <c r="R23" s="161">
        <f t="shared" si="4"/>
        <v>67777.42000000001</v>
      </c>
      <c r="S23" s="209">
        <f aca="true" t="shared" si="17" ref="S23:S31">F23/Q23</f>
        <v>1.2734430681399427</v>
      </c>
      <c r="T23" s="157">
        <f>E23-серпень!E23</f>
        <v>23120.399999999965</v>
      </c>
      <c r="U23" s="160">
        <f>F23-серпень!F23</f>
        <v>27543.169999999984</v>
      </c>
      <c r="V23" s="161">
        <f t="shared" si="10"/>
        <v>4422.770000000019</v>
      </c>
      <c r="W23" s="158">
        <f t="shared" si="13"/>
        <v>119.12929707098503</v>
      </c>
      <c r="X23" s="288">
        <f>X24+X33+X35</f>
        <v>22714</v>
      </c>
      <c r="Y23" s="294" t="e">
        <f>#N/A</f>
        <v>#N/A</v>
      </c>
      <c r="Z23" s="363">
        <f>S23-P23</f>
        <v>0.09539324421889117</v>
      </c>
    </row>
    <row r="24" spans="1:26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154158.9</v>
      </c>
      <c r="F24" s="223">
        <f>F25+F28+F29</f>
        <v>156526.78</v>
      </c>
      <c r="G24" s="150">
        <f t="shared" si="8"/>
        <v>2367.8800000000047</v>
      </c>
      <c r="H24" s="157">
        <f t="shared" si="14"/>
        <v>101.53599954332834</v>
      </c>
      <c r="I24" s="158">
        <f t="shared" si="11"/>
        <v>-50094.22</v>
      </c>
      <c r="J24" s="158">
        <f t="shared" si="12"/>
        <v>75.75550403879568</v>
      </c>
      <c r="K24" s="158"/>
      <c r="L24" s="158"/>
      <c r="M24" s="158"/>
      <c r="N24" s="158">
        <v>182295.05</v>
      </c>
      <c r="O24" s="158">
        <f t="shared" si="15"/>
        <v>24325.95000000001</v>
      </c>
      <c r="P24" s="210">
        <f t="shared" si="16"/>
        <v>1.1334427347314149</v>
      </c>
      <c r="Q24" s="158">
        <v>135815.8</v>
      </c>
      <c r="R24" s="161">
        <f t="shared" si="4"/>
        <v>20710.98000000001</v>
      </c>
      <c r="S24" s="209">
        <f t="shared" si="17"/>
        <v>1.1524931561718152</v>
      </c>
      <c r="T24" s="157">
        <f>E24-серпень!E24</f>
        <v>16613</v>
      </c>
      <c r="U24" s="160">
        <f>F24-серпень!F24</f>
        <v>19371.119999999995</v>
      </c>
      <c r="V24" s="161">
        <f t="shared" si="10"/>
        <v>2758.1199999999953</v>
      </c>
      <c r="W24" s="158">
        <f t="shared" si="13"/>
        <v>116.60217901643288</v>
      </c>
      <c r="X24" s="293">
        <f>X25+X28+X29</f>
        <v>15007</v>
      </c>
      <c r="Y24" s="293" t="e">
        <f>#N/A</f>
        <v>#N/A</v>
      </c>
      <c r="Z24" s="363">
        <f aca="true" t="shared" si="18" ref="Z24:Z87">S24-P24</f>
        <v>0.019050421440400367</v>
      </c>
    </row>
    <row r="25" spans="1:26" s="6" customFormat="1" ht="18">
      <c r="A25" s="8"/>
      <c r="B25" s="50" t="s">
        <v>74</v>
      </c>
      <c r="C25" s="123"/>
      <c r="D25" s="253">
        <v>22809</v>
      </c>
      <c r="E25" s="303">
        <v>17259.1</v>
      </c>
      <c r="F25" s="201">
        <v>18638.9</v>
      </c>
      <c r="G25" s="253">
        <f t="shared" si="8"/>
        <v>1379.800000000003</v>
      </c>
      <c r="H25" s="195">
        <f t="shared" si="14"/>
        <v>107.99462312635075</v>
      </c>
      <c r="I25" s="254">
        <f t="shared" si="11"/>
        <v>-4170.0999999999985</v>
      </c>
      <c r="J25" s="254">
        <f t="shared" si="12"/>
        <v>81.71730457275638</v>
      </c>
      <c r="K25" s="254"/>
      <c r="L25" s="254"/>
      <c r="M25" s="254"/>
      <c r="N25" s="254">
        <v>21482.16</v>
      </c>
      <c r="O25" s="254">
        <f t="shared" si="15"/>
        <v>1326.8400000000001</v>
      </c>
      <c r="P25" s="305">
        <f t="shared" si="16"/>
        <v>1.0617647387413556</v>
      </c>
      <c r="Q25" s="304">
        <v>15758.82</v>
      </c>
      <c r="R25" s="166">
        <f t="shared" si="4"/>
        <v>2880.0800000000017</v>
      </c>
      <c r="S25" s="215">
        <f t="shared" si="17"/>
        <v>1.1827598766912752</v>
      </c>
      <c r="T25" s="195">
        <f>E25-серпень!E25</f>
        <v>904.9999999999982</v>
      </c>
      <c r="U25" s="179">
        <f>F25-серпень!F25</f>
        <v>1738.75</v>
      </c>
      <c r="V25" s="166">
        <f t="shared" si="10"/>
        <v>833.7500000000018</v>
      </c>
      <c r="W25" s="254">
        <f aca="true" t="shared" si="19" ref="W25:W35">U25/T25*100</f>
        <v>192.1270718232048</v>
      </c>
      <c r="X25" s="104">
        <v>800</v>
      </c>
      <c r="Y25" s="104" t="e">
        <f>#N/A</f>
        <v>#N/A</v>
      </c>
      <c r="Z25" s="363">
        <f t="shared" si="18"/>
        <v>0.12099513794991967</v>
      </c>
    </row>
    <row r="26" spans="1:26" s="6" customFormat="1" ht="18" customHeight="1" hidden="1">
      <c r="A26" s="8"/>
      <c r="B26" s="196" t="s">
        <v>109</v>
      </c>
      <c r="C26" s="197"/>
      <c r="D26" s="198">
        <v>1822.3</v>
      </c>
      <c r="E26" s="298">
        <v>1370</v>
      </c>
      <c r="F26" s="199">
        <v>1046.93</v>
      </c>
      <c r="G26" s="223">
        <f t="shared" si="8"/>
        <v>-323.06999999999994</v>
      </c>
      <c r="H26" s="237">
        <f t="shared" si="14"/>
        <v>76.41824817518248</v>
      </c>
      <c r="I26" s="299">
        <f t="shared" si="11"/>
        <v>-775.3699999999999</v>
      </c>
      <c r="J26" s="299">
        <f t="shared" si="12"/>
        <v>57.45102343192669</v>
      </c>
      <c r="K26" s="299"/>
      <c r="L26" s="299"/>
      <c r="M26" s="299"/>
      <c r="N26" s="299">
        <v>842.7</v>
      </c>
      <c r="O26" s="299">
        <f t="shared" si="15"/>
        <v>979.5999999999999</v>
      </c>
      <c r="P26" s="341">
        <f t="shared" si="16"/>
        <v>2.162454016850599</v>
      </c>
      <c r="Q26" s="200">
        <v>668.85</v>
      </c>
      <c r="R26" s="367">
        <f t="shared" si="4"/>
        <v>378.08000000000004</v>
      </c>
      <c r="S26" s="228">
        <f t="shared" si="17"/>
        <v>1.5652687448605815</v>
      </c>
      <c r="T26" s="237">
        <f>E26-серпень!E26</f>
        <v>105</v>
      </c>
      <c r="U26" s="237">
        <f>F26-серпень!F26</f>
        <v>223.98000000000002</v>
      </c>
      <c r="V26" s="299">
        <f t="shared" si="10"/>
        <v>118.98000000000002</v>
      </c>
      <c r="W26" s="299">
        <f t="shared" si="19"/>
        <v>213.31428571428575</v>
      </c>
      <c r="X26" s="104"/>
      <c r="Y26" s="104" t="e">
        <f>#N/A</f>
        <v>#N/A</v>
      </c>
      <c r="Z26" s="363">
        <f t="shared" si="18"/>
        <v>-0.5971852719900175</v>
      </c>
    </row>
    <row r="27" spans="1:26" s="6" customFormat="1" ht="18" customHeight="1" hidden="1">
      <c r="A27" s="8"/>
      <c r="B27" s="196" t="s">
        <v>110</v>
      </c>
      <c r="C27" s="197"/>
      <c r="D27" s="198">
        <v>20986.7</v>
      </c>
      <c r="E27" s="298">
        <v>15889.1</v>
      </c>
      <c r="F27" s="199">
        <v>17591.97</v>
      </c>
      <c r="G27" s="223">
        <f t="shared" si="8"/>
        <v>1702.8700000000008</v>
      </c>
      <c r="H27" s="237">
        <f t="shared" si="14"/>
        <v>110.71722123971779</v>
      </c>
      <c r="I27" s="299">
        <f t="shared" si="11"/>
        <v>-3394.7299999999996</v>
      </c>
      <c r="J27" s="299">
        <f t="shared" si="12"/>
        <v>83.82437448479276</v>
      </c>
      <c r="K27" s="299"/>
      <c r="L27" s="299"/>
      <c r="M27" s="299"/>
      <c r="N27" s="299">
        <v>20639.46</v>
      </c>
      <c r="O27" s="299">
        <f t="shared" si="15"/>
        <v>347.2400000000016</v>
      </c>
      <c r="P27" s="341">
        <f t="shared" si="16"/>
        <v>1.01682408357583</v>
      </c>
      <c r="Q27" s="200">
        <v>15089.97</v>
      </c>
      <c r="R27" s="367">
        <f t="shared" si="4"/>
        <v>2502.000000000002</v>
      </c>
      <c r="S27" s="228">
        <f t="shared" si="17"/>
        <v>1.1658054986192816</v>
      </c>
      <c r="T27" s="237">
        <f>E27-серпень!E27</f>
        <v>800</v>
      </c>
      <c r="U27" s="237">
        <f>F27-серпень!F27</f>
        <v>1514.760000000002</v>
      </c>
      <c r="V27" s="299">
        <f t="shared" si="10"/>
        <v>714.760000000002</v>
      </c>
      <c r="W27" s="299">
        <f t="shared" si="19"/>
        <v>189.34500000000025</v>
      </c>
      <c r="X27" s="104"/>
      <c r="Y27" s="104" t="e">
        <f>#N/A</f>
        <v>#N/A</v>
      </c>
      <c r="Z27" s="363">
        <f t="shared" si="18"/>
        <v>0.14898141504345164</v>
      </c>
    </row>
    <row r="28" spans="1:26" s="6" customFormat="1" ht="18">
      <c r="A28" s="8"/>
      <c r="B28" s="50" t="s">
        <v>75</v>
      </c>
      <c r="C28" s="123"/>
      <c r="D28" s="171">
        <v>820</v>
      </c>
      <c r="E28" s="297">
        <v>466.8</v>
      </c>
      <c r="F28" s="172">
        <v>86.64</v>
      </c>
      <c r="G28" s="253">
        <f t="shared" si="8"/>
        <v>-380.16</v>
      </c>
      <c r="H28" s="195">
        <f t="shared" si="14"/>
        <v>18.560411311053983</v>
      </c>
      <c r="I28" s="254">
        <f t="shared" si="11"/>
        <v>-733.36</v>
      </c>
      <c r="J28" s="254">
        <f t="shared" si="12"/>
        <v>10.565853658536586</v>
      </c>
      <c r="K28" s="254"/>
      <c r="L28" s="254"/>
      <c r="M28" s="254"/>
      <c r="N28" s="254">
        <v>701.85</v>
      </c>
      <c r="O28" s="254">
        <f t="shared" si="15"/>
        <v>118.14999999999998</v>
      </c>
      <c r="P28" s="305">
        <f t="shared" si="16"/>
        <v>1.1683408135641518</v>
      </c>
      <c r="Q28" s="174">
        <v>777.34</v>
      </c>
      <c r="R28" s="174">
        <f aca="true" t="shared" si="20" ref="R28:R42">F28-Q28</f>
        <v>-690.7</v>
      </c>
      <c r="S28" s="212">
        <f t="shared" si="17"/>
        <v>0.11145702009416729</v>
      </c>
      <c r="T28" s="195">
        <f>E28-серпень!E28</f>
        <v>105</v>
      </c>
      <c r="U28" s="179">
        <f>F28-серпень!F28</f>
        <v>92.14</v>
      </c>
      <c r="V28" s="166">
        <f t="shared" si="10"/>
        <v>-12.86</v>
      </c>
      <c r="W28" s="254">
        <f t="shared" si="19"/>
        <v>87.75238095238095</v>
      </c>
      <c r="X28" s="104">
        <v>-25</v>
      </c>
      <c r="Y28" s="104" t="e">
        <f>#N/A</f>
        <v>#N/A</v>
      </c>
      <c r="Z28" s="364">
        <f t="shared" si="18"/>
        <v>-1.0568837934699844</v>
      </c>
    </row>
    <row r="29" spans="1:26" s="6" customFormat="1" ht="18">
      <c r="A29" s="8"/>
      <c r="B29" s="50" t="s">
        <v>76</v>
      </c>
      <c r="C29" s="123"/>
      <c r="D29" s="171">
        <v>182992</v>
      </c>
      <c r="E29" s="297">
        <v>136433</v>
      </c>
      <c r="F29" s="172">
        <v>137801.24</v>
      </c>
      <c r="G29" s="150">
        <f t="shared" si="8"/>
        <v>1368.2399999999907</v>
      </c>
      <c r="H29" s="195">
        <f t="shared" si="14"/>
        <v>101.00286587555796</v>
      </c>
      <c r="I29" s="254">
        <f t="shared" si="11"/>
        <v>-45190.76000000001</v>
      </c>
      <c r="J29" s="254">
        <f t="shared" si="12"/>
        <v>75.30451604441724</v>
      </c>
      <c r="K29" s="254"/>
      <c r="L29" s="254"/>
      <c r="M29" s="254"/>
      <c r="N29" s="254">
        <v>160111.04</v>
      </c>
      <c r="O29" s="254">
        <f t="shared" si="15"/>
        <v>22880.959999999992</v>
      </c>
      <c r="P29" s="305">
        <f t="shared" si="16"/>
        <v>1.1429068226650705</v>
      </c>
      <c r="Q29" s="175">
        <v>119279.65</v>
      </c>
      <c r="R29" s="175">
        <f t="shared" si="20"/>
        <v>18521.589999999997</v>
      </c>
      <c r="S29" s="211">
        <f t="shared" si="17"/>
        <v>1.155278708480449</v>
      </c>
      <c r="T29" s="195">
        <f>E29-серпень!E29</f>
        <v>15603</v>
      </c>
      <c r="U29" s="179">
        <f>F29-серпень!F29</f>
        <v>17540.229999999996</v>
      </c>
      <c r="V29" s="166">
        <f t="shared" si="10"/>
        <v>1937.229999999996</v>
      </c>
      <c r="W29" s="254">
        <f t="shared" si="19"/>
        <v>112.41575338076008</v>
      </c>
      <c r="X29" s="104">
        <v>14232</v>
      </c>
      <c r="Y29" s="104" t="e">
        <f>#N/A</f>
        <v>#N/A</v>
      </c>
      <c r="Z29" s="364">
        <f t="shared" si="18"/>
        <v>0.012371885815378514</v>
      </c>
    </row>
    <row r="30" spans="1:26" s="6" customFormat="1" ht="18" customHeight="1" hidden="1">
      <c r="A30" s="8"/>
      <c r="B30" s="196" t="s">
        <v>111</v>
      </c>
      <c r="C30" s="197"/>
      <c r="D30" s="198">
        <v>57533</v>
      </c>
      <c r="E30" s="198">
        <v>43133</v>
      </c>
      <c r="F30" s="199">
        <v>45108.99</v>
      </c>
      <c r="G30" s="223">
        <f t="shared" si="8"/>
        <v>1975.989999999998</v>
      </c>
      <c r="H30" s="237">
        <f t="shared" si="14"/>
        <v>104.58115595947417</v>
      </c>
      <c r="I30" s="299">
        <f t="shared" si="11"/>
        <v>-12424.010000000002</v>
      </c>
      <c r="J30" s="299">
        <f t="shared" si="12"/>
        <v>78.40541949837484</v>
      </c>
      <c r="K30" s="299"/>
      <c r="L30" s="299"/>
      <c r="M30" s="299"/>
      <c r="N30" s="299">
        <v>49911.97</v>
      </c>
      <c r="O30" s="299">
        <f t="shared" si="15"/>
        <v>7621.029999999999</v>
      </c>
      <c r="P30" s="341">
        <f t="shared" si="16"/>
        <v>1.152689425001658</v>
      </c>
      <c r="Q30" s="200">
        <v>37996.12</v>
      </c>
      <c r="R30" s="200">
        <f t="shared" si="20"/>
        <v>7112.869999999995</v>
      </c>
      <c r="S30" s="228">
        <f t="shared" si="17"/>
        <v>1.1871999035691012</v>
      </c>
      <c r="T30" s="237">
        <f>E30-серпень!E30</f>
        <v>4918</v>
      </c>
      <c r="U30" s="237">
        <f>F30-серпень!F30</f>
        <v>4395.220000000001</v>
      </c>
      <c r="V30" s="299">
        <f t="shared" si="10"/>
        <v>-522.7799999999988</v>
      </c>
      <c r="W30" s="299">
        <f t="shared" si="19"/>
        <v>89.37006913379425</v>
      </c>
      <c r="X30" s="107"/>
      <c r="Y30" s="100" t="e">
        <f>#N/A</f>
        <v>#N/A</v>
      </c>
      <c r="Z30" s="363">
        <f t="shared" si="18"/>
        <v>0.03451047856744327</v>
      </c>
    </row>
    <row r="31" spans="1:26" s="6" customFormat="1" ht="18" customHeight="1" hidden="1">
      <c r="A31" s="8"/>
      <c r="B31" s="196" t="s">
        <v>112</v>
      </c>
      <c r="C31" s="197"/>
      <c r="D31" s="198">
        <v>125459</v>
      </c>
      <c r="E31" s="198">
        <v>93300</v>
      </c>
      <c r="F31" s="199">
        <v>92692.24</v>
      </c>
      <c r="G31" s="223">
        <f t="shared" si="8"/>
        <v>-607.7599999999948</v>
      </c>
      <c r="H31" s="237">
        <f t="shared" si="14"/>
        <v>99.34859592711683</v>
      </c>
      <c r="I31" s="299">
        <f t="shared" si="11"/>
        <v>-32766.759999999995</v>
      </c>
      <c r="J31" s="299">
        <f t="shared" si="12"/>
        <v>73.88249547660989</v>
      </c>
      <c r="K31" s="299"/>
      <c r="L31" s="299"/>
      <c r="M31" s="299"/>
      <c r="N31" s="299">
        <v>110199.06</v>
      </c>
      <c r="O31" s="299">
        <f t="shared" si="15"/>
        <v>15259.940000000002</v>
      </c>
      <c r="P31" s="341">
        <f t="shared" si="16"/>
        <v>1.1384761358218483</v>
      </c>
      <c r="Q31" s="200">
        <v>81283.52</v>
      </c>
      <c r="R31" s="200">
        <f t="shared" si="20"/>
        <v>11408.720000000001</v>
      </c>
      <c r="S31" s="228">
        <f t="shared" si="17"/>
        <v>1.1403571105188357</v>
      </c>
      <c r="T31" s="237">
        <f>E31-серпень!E31</f>
        <v>10685</v>
      </c>
      <c r="U31" s="237">
        <f>F31-серпень!F31</f>
        <v>13145</v>
      </c>
      <c r="V31" s="299">
        <f t="shared" si="10"/>
        <v>2460</v>
      </c>
      <c r="W31" s="299">
        <f t="shared" si="19"/>
        <v>123.02292934019654</v>
      </c>
      <c r="X31" s="107"/>
      <c r="Y31" s="100" t="e">
        <f>#N/A</f>
        <v>#N/A</v>
      </c>
      <c r="Z31" s="363">
        <f t="shared" si="18"/>
        <v>0.0018809746969874475</v>
      </c>
    </row>
    <row r="32" spans="1:26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 t="shared" si="8"/>
        <v>0.2</v>
      </c>
      <c r="H32" s="157"/>
      <c r="I32" s="158">
        <f t="shared" si="11"/>
        <v>0.2</v>
      </c>
      <c r="J32" s="158"/>
      <c r="K32" s="158"/>
      <c r="L32" s="158"/>
      <c r="M32" s="158"/>
      <c r="N32" s="158">
        <v>0.15</v>
      </c>
      <c r="O32" s="158">
        <f t="shared" si="15"/>
        <v>-0.15</v>
      </c>
      <c r="P32" s="210">
        <f t="shared" si="16"/>
        <v>0</v>
      </c>
      <c r="Q32" s="167">
        <v>0.15</v>
      </c>
      <c r="R32" s="158">
        <f t="shared" si="20"/>
        <v>0.05000000000000002</v>
      </c>
      <c r="S32" s="210"/>
      <c r="T32" s="157">
        <f>E32-серпень!E32</f>
        <v>0</v>
      </c>
      <c r="U32" s="160">
        <f>F32-серпень!F32</f>
        <v>0</v>
      </c>
      <c r="V32" s="161">
        <f t="shared" si="10"/>
        <v>0</v>
      </c>
      <c r="W32" s="158"/>
      <c r="X32" s="293"/>
      <c r="Y32" s="293" t="e">
        <f>#N/A</f>
        <v>#N/A</v>
      </c>
      <c r="Z32" s="363">
        <f t="shared" si="18"/>
        <v>0</v>
      </c>
    </row>
    <row r="33" spans="1:26" s="6" customFormat="1" ht="18">
      <c r="A33" s="8"/>
      <c r="B33" s="44" t="s">
        <v>82</v>
      </c>
      <c r="C33" s="114">
        <v>18030000</v>
      </c>
      <c r="D33" s="150">
        <v>115</v>
      </c>
      <c r="E33" s="150">
        <v>79</v>
      </c>
      <c r="F33" s="156">
        <v>116.06</v>
      </c>
      <c r="G33" s="150">
        <f t="shared" si="8"/>
        <v>37.06</v>
      </c>
      <c r="H33" s="157">
        <f t="shared" si="14"/>
        <v>146.9113924050633</v>
      </c>
      <c r="I33" s="158">
        <f t="shared" si="11"/>
        <v>1.0600000000000023</v>
      </c>
      <c r="J33" s="158">
        <f t="shared" si="12"/>
        <v>100.92173913043479</v>
      </c>
      <c r="K33" s="158"/>
      <c r="L33" s="158"/>
      <c r="M33" s="158"/>
      <c r="N33" s="158">
        <v>117.68</v>
      </c>
      <c r="O33" s="158">
        <f t="shared" si="15"/>
        <v>-2.680000000000007</v>
      </c>
      <c r="P33" s="210">
        <f t="shared" si="16"/>
        <v>0.9772263766145479</v>
      </c>
      <c r="Q33" s="158">
        <v>87.95</v>
      </c>
      <c r="R33" s="158">
        <f t="shared" si="20"/>
        <v>28.11</v>
      </c>
      <c r="S33" s="210">
        <f aca="true" t="shared" si="21" ref="S33:S39">F33/Q33</f>
        <v>1.319613416714042</v>
      </c>
      <c r="T33" s="157">
        <f>E33-серпень!E33</f>
        <v>7.400000000000006</v>
      </c>
      <c r="U33" s="160">
        <f>F33-серпень!F33</f>
        <v>2</v>
      </c>
      <c r="V33" s="161">
        <f t="shared" si="10"/>
        <v>-5.400000000000006</v>
      </c>
      <c r="W33" s="158">
        <f t="shared" si="19"/>
        <v>27.027027027027007</v>
      </c>
      <c r="X33" s="293">
        <v>7</v>
      </c>
      <c r="Y33" s="293" t="e">
        <f>#N/A</f>
        <v>#N/A</v>
      </c>
      <c r="Z33" s="363">
        <f t="shared" si="18"/>
        <v>0.34238704009949417</v>
      </c>
    </row>
    <row r="34" spans="1:26" s="6" customFormat="1" ht="30.75">
      <c r="A34" s="8"/>
      <c r="B34" s="225" t="s">
        <v>83</v>
      </c>
      <c r="C34" s="114">
        <v>18040000</v>
      </c>
      <c r="D34" s="150"/>
      <c r="E34" s="150"/>
      <c r="F34" s="156">
        <v>-43.12</v>
      </c>
      <c r="G34" s="150">
        <f t="shared" si="8"/>
        <v>-43.12</v>
      </c>
      <c r="H34" s="157"/>
      <c r="I34" s="158">
        <f t="shared" si="11"/>
        <v>-43.12</v>
      </c>
      <c r="J34" s="158"/>
      <c r="K34" s="158"/>
      <c r="L34" s="158"/>
      <c r="M34" s="158"/>
      <c r="N34" s="158">
        <v>-177.97</v>
      </c>
      <c r="O34" s="158">
        <f t="shared" si="15"/>
        <v>177.97</v>
      </c>
      <c r="P34" s="210">
        <f t="shared" si="16"/>
        <v>0</v>
      </c>
      <c r="Q34" s="158">
        <v>-160.1</v>
      </c>
      <c r="R34" s="158">
        <f t="shared" si="20"/>
        <v>116.97999999999999</v>
      </c>
      <c r="S34" s="210">
        <f t="shared" si="21"/>
        <v>0.2693316677076827</v>
      </c>
      <c r="T34" s="157">
        <f>E34-серпень!E34</f>
        <v>0</v>
      </c>
      <c r="U34" s="160">
        <f>F34-серпень!F34</f>
        <v>-4.909999999999997</v>
      </c>
      <c r="V34" s="161">
        <f t="shared" si="10"/>
        <v>-4.909999999999997</v>
      </c>
      <c r="W34" s="158"/>
      <c r="X34" s="293"/>
      <c r="Y34" s="293" t="e">
        <f>#N/A</f>
        <v>#N/A</v>
      </c>
      <c r="Z34" s="363">
        <f t="shared" si="18"/>
        <v>0.2693316677076827</v>
      </c>
    </row>
    <row r="35" spans="1:26" s="6" customFormat="1" ht="18">
      <c r="A35" s="8"/>
      <c r="B35" s="44" t="s">
        <v>84</v>
      </c>
      <c r="C35" s="114">
        <v>18050000</v>
      </c>
      <c r="D35" s="162">
        <v>194394.1</v>
      </c>
      <c r="E35" s="162">
        <v>149912.7</v>
      </c>
      <c r="F35" s="163">
        <v>159044.16</v>
      </c>
      <c r="G35" s="150">
        <f t="shared" si="8"/>
        <v>9131.459999999992</v>
      </c>
      <c r="H35" s="157">
        <f t="shared" si="14"/>
        <v>106.09118506971056</v>
      </c>
      <c r="I35" s="158">
        <f t="shared" si="11"/>
        <v>-35349.94</v>
      </c>
      <c r="J35" s="158">
        <f t="shared" si="12"/>
        <v>81.81532258437885</v>
      </c>
      <c r="K35" s="158"/>
      <c r="L35" s="158"/>
      <c r="M35" s="158"/>
      <c r="N35" s="158">
        <v>158268.6</v>
      </c>
      <c r="O35" s="158">
        <f t="shared" si="15"/>
        <v>36125.5</v>
      </c>
      <c r="P35" s="210">
        <f t="shared" si="16"/>
        <v>1.2282543726298205</v>
      </c>
      <c r="Q35" s="178">
        <v>112122.86</v>
      </c>
      <c r="R35" s="178">
        <f t="shared" si="20"/>
        <v>46921.3</v>
      </c>
      <c r="S35" s="226">
        <f t="shared" si="21"/>
        <v>1.4184811197288403</v>
      </c>
      <c r="T35" s="157">
        <f>E35-серпень!E35</f>
        <v>6500</v>
      </c>
      <c r="U35" s="160">
        <f>F35-серпень!F35</f>
        <v>8174.959999999992</v>
      </c>
      <c r="V35" s="161">
        <f t="shared" si="10"/>
        <v>1674.9599999999919</v>
      </c>
      <c r="W35" s="158">
        <f t="shared" si="19"/>
        <v>125.76861538461526</v>
      </c>
      <c r="X35" s="293">
        <v>7700</v>
      </c>
      <c r="Y35" s="293" t="e">
        <f>#N/A</f>
        <v>#N/A</v>
      </c>
      <c r="Z35" s="363">
        <f t="shared" si="18"/>
        <v>0.19022674709901977</v>
      </c>
    </row>
    <row r="36" spans="1:26" s="6" customFormat="1" ht="15" customHeight="1" hidden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0.01</v>
      </c>
      <c r="G36" s="103">
        <f>F36-E36</f>
        <v>0.01</v>
      </c>
      <c r="H36" s="105"/>
      <c r="I36" s="104">
        <f t="shared" si="11"/>
        <v>0.01</v>
      </c>
      <c r="J36" s="104"/>
      <c r="K36" s="104"/>
      <c r="L36" s="104"/>
      <c r="M36" s="104"/>
      <c r="N36" s="104">
        <v>0.23</v>
      </c>
      <c r="O36" s="104">
        <f t="shared" si="15"/>
        <v>-0.23</v>
      </c>
      <c r="P36" s="109">
        <f t="shared" si="16"/>
        <v>0</v>
      </c>
      <c r="Q36" s="127">
        <v>0.23</v>
      </c>
      <c r="R36" s="127">
        <f t="shared" si="20"/>
        <v>-0.22</v>
      </c>
      <c r="S36" s="216">
        <f t="shared" si="21"/>
        <v>0.043478260869565216</v>
      </c>
      <c r="T36" s="105">
        <f>E36-серпень!E36</f>
        <v>0</v>
      </c>
      <c r="U36" s="144">
        <f>F36-серпень!F36</f>
        <v>0</v>
      </c>
      <c r="V36" s="106">
        <f t="shared" si="10"/>
        <v>0</v>
      </c>
      <c r="W36" s="104"/>
      <c r="X36" s="107"/>
      <c r="Y36" s="107"/>
      <c r="Z36" s="363">
        <f t="shared" si="18"/>
        <v>0.043478260869565216</v>
      </c>
    </row>
    <row r="37" spans="1:26" s="6" customFormat="1" ht="15" customHeight="1" hidden="1">
      <c r="A37" s="8"/>
      <c r="B37" s="50" t="s">
        <v>91</v>
      </c>
      <c r="C37" s="102">
        <v>18050300</v>
      </c>
      <c r="D37" s="103">
        <v>41000</v>
      </c>
      <c r="E37" s="103">
        <v>30520</v>
      </c>
      <c r="F37" s="140">
        <v>31037.98</v>
      </c>
      <c r="G37" s="103">
        <f>F37-E37</f>
        <v>517.9799999999996</v>
      </c>
      <c r="H37" s="105">
        <f t="shared" si="14"/>
        <v>101.69718217562253</v>
      </c>
      <c r="I37" s="104">
        <f t="shared" si="11"/>
        <v>-9962.02</v>
      </c>
      <c r="J37" s="104">
        <f t="shared" si="12"/>
        <v>75.70239024390244</v>
      </c>
      <c r="K37" s="104"/>
      <c r="L37" s="104"/>
      <c r="M37" s="104"/>
      <c r="N37" s="104">
        <v>39173.72</v>
      </c>
      <c r="O37" s="104">
        <f t="shared" si="15"/>
        <v>1826.2799999999988</v>
      </c>
      <c r="P37" s="109">
        <f t="shared" si="16"/>
        <v>1.0466200299588602</v>
      </c>
      <c r="Q37" s="127">
        <v>28340.41</v>
      </c>
      <c r="R37" s="127">
        <f t="shared" si="20"/>
        <v>2697.5699999999997</v>
      </c>
      <c r="S37" s="216">
        <f t="shared" si="21"/>
        <v>1.09518457919275</v>
      </c>
      <c r="T37" s="105">
        <f>E37-серпень!E37</f>
        <v>1000</v>
      </c>
      <c r="U37" s="144">
        <f>F37-серпень!F37</f>
        <v>874.5600000000013</v>
      </c>
      <c r="V37" s="106">
        <f t="shared" si="10"/>
        <v>-125.43999999999869</v>
      </c>
      <c r="W37" s="104">
        <f>U37/T37*100</f>
        <v>87.45600000000013</v>
      </c>
      <c r="X37" s="107"/>
      <c r="Y37" s="107"/>
      <c r="Z37" s="363">
        <f t="shared" si="18"/>
        <v>0.04856454923388975</v>
      </c>
    </row>
    <row r="38" spans="1:26" s="6" customFormat="1" ht="15" customHeight="1" hidden="1">
      <c r="A38" s="8"/>
      <c r="B38" s="50" t="s">
        <v>92</v>
      </c>
      <c r="C38" s="102">
        <v>18050400</v>
      </c>
      <c r="D38" s="103">
        <v>153339.1</v>
      </c>
      <c r="E38" s="103">
        <v>119360</v>
      </c>
      <c r="F38" s="140">
        <v>127972.19</v>
      </c>
      <c r="G38" s="103">
        <f>F38-E38</f>
        <v>8612.190000000002</v>
      </c>
      <c r="H38" s="105">
        <f t="shared" si="14"/>
        <v>107.21530663538874</v>
      </c>
      <c r="I38" s="104">
        <f t="shared" si="11"/>
        <v>-25366.910000000003</v>
      </c>
      <c r="J38" s="104">
        <f t="shared" si="12"/>
        <v>83.45698520468686</v>
      </c>
      <c r="K38" s="104"/>
      <c r="L38" s="104"/>
      <c r="M38" s="104"/>
      <c r="N38" s="104">
        <v>119039.46</v>
      </c>
      <c r="O38" s="104">
        <f t="shared" si="15"/>
        <v>34299.64</v>
      </c>
      <c r="P38" s="109">
        <f t="shared" si="16"/>
        <v>1.2881367237384982</v>
      </c>
      <c r="Q38" s="127">
        <v>83755.8</v>
      </c>
      <c r="R38" s="127">
        <f t="shared" si="20"/>
        <v>44216.39</v>
      </c>
      <c r="S38" s="216">
        <f t="shared" si="21"/>
        <v>1.5279203350693324</v>
      </c>
      <c r="T38" s="105">
        <f>E38-серпень!E38</f>
        <v>5500</v>
      </c>
      <c r="U38" s="144">
        <f>F38-серпень!F38</f>
        <v>7296.5</v>
      </c>
      <c r="V38" s="106">
        <f t="shared" si="10"/>
        <v>1796.5</v>
      </c>
      <c r="W38" s="104">
        <f>U38/T38*100</f>
        <v>132.66363636363636</v>
      </c>
      <c r="X38" s="107"/>
      <c r="Y38" s="107"/>
      <c r="Z38" s="363">
        <f t="shared" si="18"/>
        <v>0.23978361133083426</v>
      </c>
    </row>
    <row r="39" spans="1:26" s="6" customFormat="1" ht="15" customHeight="1" hidden="1">
      <c r="A39" s="8"/>
      <c r="B39" s="50" t="s">
        <v>93</v>
      </c>
      <c r="C39" s="102">
        <v>18050500</v>
      </c>
      <c r="D39" s="103">
        <v>55</v>
      </c>
      <c r="E39" s="103">
        <v>32.7</v>
      </c>
      <c r="F39" s="140">
        <v>33.98</v>
      </c>
      <c r="G39" s="103">
        <f>F39-E39</f>
        <v>1.279999999999994</v>
      </c>
      <c r="H39" s="105">
        <f t="shared" si="14"/>
        <v>103.91437308868498</v>
      </c>
      <c r="I39" s="104">
        <f t="shared" si="11"/>
        <v>-21.020000000000003</v>
      </c>
      <c r="J39" s="104">
        <f t="shared" si="12"/>
        <v>61.781818181818174</v>
      </c>
      <c r="K39" s="104"/>
      <c r="L39" s="104"/>
      <c r="M39" s="104"/>
      <c r="N39" s="104">
        <v>55.18</v>
      </c>
      <c r="O39" s="104">
        <f t="shared" si="15"/>
        <v>-0.17999999999999972</v>
      </c>
      <c r="P39" s="109">
        <f t="shared" si="16"/>
        <v>0.9967379485320769</v>
      </c>
      <c r="Q39" s="127">
        <v>26.42</v>
      </c>
      <c r="R39" s="127">
        <f t="shared" si="20"/>
        <v>7.559999999999995</v>
      </c>
      <c r="S39" s="216">
        <f t="shared" si="21"/>
        <v>1.286146858440575</v>
      </c>
      <c r="T39" s="105">
        <f>E39-серпень!E39</f>
        <v>0</v>
      </c>
      <c r="U39" s="144">
        <f>F39-серпень!F39</f>
        <v>3.9099999999999966</v>
      </c>
      <c r="V39" s="106">
        <f t="shared" si="10"/>
        <v>3.9099999999999966</v>
      </c>
      <c r="W39" s="104"/>
      <c r="X39" s="107"/>
      <c r="Y39" s="107"/>
      <c r="Z39" s="363">
        <f t="shared" si="18"/>
        <v>0.2894089099084982</v>
      </c>
    </row>
    <row r="40" spans="1:26" s="6" customFormat="1" ht="15" customHeight="1" hidden="1">
      <c r="A40" s="8"/>
      <c r="B40" s="232"/>
      <c r="C40" s="43"/>
      <c r="D40" s="34">
        <v>0</v>
      </c>
      <c r="E40" s="34">
        <v>0</v>
      </c>
      <c r="F40" s="290">
        <v>0</v>
      </c>
      <c r="G40" s="34">
        <f>F40-E40</f>
        <v>0</v>
      </c>
      <c r="H40" s="157"/>
      <c r="I40" s="119">
        <f t="shared" si="11"/>
        <v>0</v>
      </c>
      <c r="J40" s="37"/>
      <c r="K40" s="37"/>
      <c r="L40" s="37"/>
      <c r="M40" s="37"/>
      <c r="N40" s="37"/>
      <c r="O40" s="37"/>
      <c r="P40" s="94"/>
      <c r="Q40" s="119">
        <v>0</v>
      </c>
      <c r="R40" s="119">
        <f t="shared" si="20"/>
        <v>0</v>
      </c>
      <c r="S40" s="217"/>
      <c r="T40" s="137">
        <f>E40-серпень!E40</f>
        <v>0</v>
      </c>
      <c r="U40" s="145">
        <f>F40-серпень!F40</f>
        <v>0</v>
      </c>
      <c r="V40" s="161">
        <f t="shared" si="10"/>
        <v>0</v>
      </c>
      <c r="W40" s="37"/>
      <c r="X40" s="107"/>
      <c r="Y40" s="107"/>
      <c r="Z40" s="363">
        <f t="shared" si="18"/>
        <v>0</v>
      </c>
    </row>
    <row r="41" spans="1:26" s="6" customFormat="1" ht="17.25">
      <c r="A41" s="7"/>
      <c r="B41" s="16" t="s">
        <v>12</v>
      </c>
      <c r="C41" s="70">
        <v>20000000</v>
      </c>
      <c r="D41" s="151">
        <f>D42+D43+D44+D45+D46+D48+D50+D51+D52+D53+D54+D59+D60+D64+D47+D49</f>
        <v>59025</v>
      </c>
      <c r="E41" s="151">
        <f>E42+E43+E44+E45+E46+E48+E50+E51+E52+E53+E54+E59+E60+E64+E47+E49</f>
        <v>45548.3</v>
      </c>
      <c r="F41" s="151">
        <f>F42+F43+F44+F45+F46+F48+F50+F51+F52+F53+F54+F59+F60+F64+F47+F49</f>
        <v>51467.21</v>
      </c>
      <c r="G41" s="151">
        <f>G42+G43+G44+G45+G46+G48+G50+G51+G52+G53+G54+G59+G60+G64+G47+G49</f>
        <v>5918.909999999999</v>
      </c>
      <c r="H41" s="151">
        <f>F41/E41*100</f>
        <v>112.99479892773165</v>
      </c>
      <c r="I41" s="153">
        <f>F41-D41</f>
        <v>-7557.790000000001</v>
      </c>
      <c r="J41" s="153">
        <f>F41/D41*100</f>
        <v>87.19561202880135</v>
      </c>
      <c r="K41" s="153"/>
      <c r="L41" s="153"/>
      <c r="M41" s="153"/>
      <c r="N41" s="153">
        <v>68752.68</v>
      </c>
      <c r="O41" s="153">
        <f>D41-N41</f>
        <v>-9727.679999999993</v>
      </c>
      <c r="P41" s="219">
        <f>D41/N41</f>
        <v>0.8585119881872242</v>
      </c>
      <c r="Q41" s="287">
        <v>49446.88</v>
      </c>
      <c r="R41" s="151">
        <f t="shared" si="20"/>
        <v>2020.3300000000017</v>
      </c>
      <c r="S41" s="205">
        <f>F41/Q41</f>
        <v>1.0408585941114992</v>
      </c>
      <c r="T41" s="151">
        <f>T42+T43+T44+T45+T46+T48+T50+T51+T52+T53+T54+T59+T60+T64+T47+T49</f>
        <v>4970.8</v>
      </c>
      <c r="U41" s="151">
        <f>U42+U43+U44+U45+U46+U48+U50+U51+U52+U53+U54+U59+U60+U64+U47+U49</f>
        <v>4052.3099999999995</v>
      </c>
      <c r="V41" s="151">
        <f>V42+V43+V44+V45+V46+V48+V50+V51+V52+V53+V54+V59+V60+V64</f>
        <v>-918.4900000000009</v>
      </c>
      <c r="W41" s="151">
        <f>U41/T41*100</f>
        <v>81.52229017461977</v>
      </c>
      <c r="X41" s="15">
        <f>X42+X43+X44+X45+X46+X47+X48+X50+X51+X52+X53+X54+X59+X60+X64</f>
        <v>5598.5</v>
      </c>
      <c r="Y41" s="15">
        <f>U41-X41</f>
        <v>-1546.1900000000005</v>
      </c>
      <c r="Z41" s="363">
        <f t="shared" si="18"/>
        <v>0.18234660592427498</v>
      </c>
    </row>
    <row r="42" spans="1:26" s="6" customFormat="1" ht="46.5">
      <c r="A42" s="8"/>
      <c r="B42" s="225" t="s">
        <v>98</v>
      </c>
      <c r="C42" s="43">
        <v>21010301</v>
      </c>
      <c r="D42" s="150">
        <v>580</v>
      </c>
      <c r="E42" s="150">
        <f>260+220</f>
        <v>480</v>
      </c>
      <c r="F42" s="156">
        <v>1645.23</v>
      </c>
      <c r="G42" s="150">
        <f aca="true" t="shared" si="22" ref="G42:G66">F42-E42</f>
        <v>1165.23</v>
      </c>
      <c r="H42" s="164">
        <f>F42/E42*100</f>
        <v>342.75625</v>
      </c>
      <c r="I42" s="165">
        <f>F42-D42</f>
        <v>1065.23</v>
      </c>
      <c r="J42" s="165">
        <f>F42/D42*100</f>
        <v>283.6603448275862</v>
      </c>
      <c r="K42" s="165"/>
      <c r="L42" s="165"/>
      <c r="M42" s="165"/>
      <c r="N42" s="165">
        <v>551.04</v>
      </c>
      <c r="O42" s="165">
        <f>D42-N42</f>
        <v>28.960000000000036</v>
      </c>
      <c r="P42" s="218">
        <f>D42/N42</f>
        <v>1.052555168408827</v>
      </c>
      <c r="Q42" s="165">
        <v>420.88</v>
      </c>
      <c r="R42" s="165">
        <f t="shared" si="20"/>
        <v>1224.35</v>
      </c>
      <c r="S42" s="218">
        <f>F42/Q42</f>
        <v>3.909023949819426</v>
      </c>
      <c r="T42" s="157">
        <f>E42-серпень!E42</f>
        <v>0</v>
      </c>
      <c r="U42" s="160">
        <f>F42-серпень!F42</f>
        <v>-1912.67</v>
      </c>
      <c r="V42" s="161">
        <f aca="true" t="shared" si="23" ref="V42:V66">U42-T42</f>
        <v>-1912.67</v>
      </c>
      <c r="W42" s="165" t="e">
        <f>U42/T42</f>
        <v>#DIV/0!</v>
      </c>
      <c r="X42" s="37">
        <v>0</v>
      </c>
      <c r="Y42" s="37">
        <f>U42-X42</f>
        <v>-1912.67</v>
      </c>
      <c r="Z42" s="363">
        <f t="shared" si="18"/>
        <v>2.856468781410599</v>
      </c>
    </row>
    <row r="43" spans="1:26" s="6" customFormat="1" ht="30.75">
      <c r="A43" s="8"/>
      <c r="B43" s="129" t="s">
        <v>77</v>
      </c>
      <c r="C43" s="42">
        <v>21050000</v>
      </c>
      <c r="D43" s="150">
        <v>30000</v>
      </c>
      <c r="E43" s="150">
        <v>22100</v>
      </c>
      <c r="F43" s="156">
        <v>20495.01</v>
      </c>
      <c r="G43" s="150">
        <f t="shared" si="22"/>
        <v>-1604.9900000000016</v>
      </c>
      <c r="H43" s="164">
        <f aca="true" t="shared" si="24" ref="H43:H58">F43/E43*100</f>
        <v>92.73760180995474</v>
      </c>
      <c r="I43" s="165">
        <f aca="true" t="shared" si="25" ref="I43:I66">F43-D43</f>
        <v>-9504.990000000002</v>
      </c>
      <c r="J43" s="165">
        <f>F43/D43*100</f>
        <v>68.3167</v>
      </c>
      <c r="K43" s="165"/>
      <c r="L43" s="165"/>
      <c r="M43" s="165"/>
      <c r="N43" s="165">
        <v>36136.57</v>
      </c>
      <c r="O43" s="165">
        <f aca="true" t="shared" si="26" ref="O43:O60">D43-N43</f>
        <v>-6136.57</v>
      </c>
      <c r="P43" s="218">
        <f aca="true" t="shared" si="27" ref="P43:P60">D43/N43</f>
        <v>0.8301839383206542</v>
      </c>
      <c r="Q43" s="165">
        <v>24166.13</v>
      </c>
      <c r="R43" s="165">
        <f aca="true" t="shared" si="28" ref="R43:R66">F43-Q43</f>
        <v>-3671.1200000000026</v>
      </c>
      <c r="S43" s="218">
        <f aca="true" t="shared" si="29" ref="S43:S66">F43/Q43</f>
        <v>0.8480882127175513</v>
      </c>
      <c r="T43" s="157">
        <f>E43-серпень!E43</f>
        <v>2800</v>
      </c>
      <c r="U43" s="160">
        <f>F43-серпень!F43</f>
        <v>2426.869999999999</v>
      </c>
      <c r="V43" s="161">
        <f t="shared" si="23"/>
        <v>-373.130000000001</v>
      </c>
      <c r="W43" s="165">
        <f aca="true" t="shared" si="30" ref="W43:W65">U43/T43</f>
        <v>0.8667392857142854</v>
      </c>
      <c r="X43" s="37">
        <v>2874.5</v>
      </c>
      <c r="Y43" s="37" t="e">
        <f>#N/A</f>
        <v>#N/A</v>
      </c>
      <c r="Z43" s="363">
        <f t="shared" si="18"/>
        <v>0.017904274396897124</v>
      </c>
    </row>
    <row r="44" spans="1:26" s="6" customFormat="1" ht="18">
      <c r="A44" s="8"/>
      <c r="B44" s="129" t="s">
        <v>61</v>
      </c>
      <c r="C44" s="42">
        <v>21080500</v>
      </c>
      <c r="D44" s="150">
        <v>40</v>
      </c>
      <c r="E44" s="150">
        <v>25</v>
      </c>
      <c r="F44" s="156">
        <v>128.3</v>
      </c>
      <c r="G44" s="150">
        <f t="shared" si="22"/>
        <v>103.30000000000001</v>
      </c>
      <c r="H44" s="164">
        <f t="shared" si="24"/>
        <v>513.2</v>
      </c>
      <c r="I44" s="165">
        <f t="shared" si="25"/>
        <v>88.30000000000001</v>
      </c>
      <c r="J44" s="165">
        <f aca="true" t="shared" si="31" ref="J44:J65">F44/D44*100</f>
        <v>320.75000000000006</v>
      </c>
      <c r="K44" s="165"/>
      <c r="L44" s="165"/>
      <c r="M44" s="165"/>
      <c r="N44" s="165">
        <v>31.98</v>
      </c>
      <c r="O44" s="165">
        <f t="shared" si="26"/>
        <v>8.02</v>
      </c>
      <c r="P44" s="218">
        <f t="shared" si="27"/>
        <v>1.2507817385866167</v>
      </c>
      <c r="Q44" s="165">
        <v>31.98</v>
      </c>
      <c r="R44" s="165">
        <f t="shared" si="28"/>
        <v>96.32000000000001</v>
      </c>
      <c r="S44" s="218">
        <f t="shared" si="29"/>
        <v>4.011882426516573</v>
      </c>
      <c r="T44" s="157">
        <f>E44-серпень!E44</f>
        <v>1</v>
      </c>
      <c r="U44" s="160">
        <f>F44-серпень!F44</f>
        <v>5.000000000000014</v>
      </c>
      <c r="V44" s="161">
        <f t="shared" si="23"/>
        <v>4.000000000000014</v>
      </c>
      <c r="W44" s="165">
        <f t="shared" si="30"/>
        <v>5.000000000000014</v>
      </c>
      <c r="X44" s="37">
        <v>10</v>
      </c>
      <c r="Y44" s="37" t="e">
        <f>#N/A</f>
        <v>#N/A</v>
      </c>
      <c r="Z44" s="363">
        <f t="shared" si="18"/>
        <v>2.7611006879299564</v>
      </c>
    </row>
    <row r="45" spans="1:26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12.95</v>
      </c>
      <c r="G45" s="150">
        <f t="shared" si="22"/>
        <v>12.95</v>
      </c>
      <c r="H45" s="164" t="e">
        <f t="shared" si="24"/>
        <v>#DIV/0!</v>
      </c>
      <c r="I45" s="165">
        <f t="shared" si="25"/>
        <v>12.95</v>
      </c>
      <c r="J45" s="165"/>
      <c r="K45" s="165"/>
      <c r="L45" s="165"/>
      <c r="M45" s="165"/>
      <c r="N45" s="165">
        <v>0.1</v>
      </c>
      <c r="O45" s="165">
        <f t="shared" si="26"/>
        <v>-0.1</v>
      </c>
      <c r="P45" s="218">
        <f t="shared" si="27"/>
        <v>0</v>
      </c>
      <c r="Q45" s="165">
        <v>0.1</v>
      </c>
      <c r="R45" s="165">
        <f t="shared" si="28"/>
        <v>12.85</v>
      </c>
      <c r="S45" s="218"/>
      <c r="T45" s="157">
        <f>E45-серпень!E45</f>
        <v>0</v>
      </c>
      <c r="U45" s="160">
        <f>F45-серпень!F45</f>
        <v>0</v>
      </c>
      <c r="V45" s="161">
        <f t="shared" si="23"/>
        <v>0</v>
      </c>
      <c r="W45" s="165"/>
      <c r="X45" s="37">
        <v>0</v>
      </c>
      <c r="Y45" s="37" t="e">
        <f>#N/A</f>
        <v>#N/A</v>
      </c>
      <c r="Z45" s="363">
        <f t="shared" si="18"/>
        <v>0</v>
      </c>
    </row>
    <row r="46" spans="1:26" s="6" customFormat="1" ht="18">
      <c r="A46" s="8"/>
      <c r="B46" s="130" t="s">
        <v>16</v>
      </c>
      <c r="C46" s="72">
        <v>21081100</v>
      </c>
      <c r="D46" s="150">
        <v>260</v>
      </c>
      <c r="E46" s="150">
        <v>194</v>
      </c>
      <c r="F46" s="156">
        <v>620.32</v>
      </c>
      <c r="G46" s="150">
        <f t="shared" si="22"/>
        <v>426.32000000000005</v>
      </c>
      <c r="H46" s="164">
        <f t="shared" si="24"/>
        <v>319.75257731958766</v>
      </c>
      <c r="I46" s="165">
        <f t="shared" si="25"/>
        <v>360.32000000000005</v>
      </c>
      <c r="J46" s="165">
        <f t="shared" si="31"/>
        <v>238.5846153846154</v>
      </c>
      <c r="K46" s="165"/>
      <c r="L46" s="165"/>
      <c r="M46" s="165"/>
      <c r="N46" s="165">
        <v>241.07</v>
      </c>
      <c r="O46" s="165">
        <f t="shared" si="26"/>
        <v>18.930000000000007</v>
      </c>
      <c r="P46" s="218">
        <f t="shared" si="27"/>
        <v>1.0785249097772431</v>
      </c>
      <c r="Q46" s="165">
        <v>197.12</v>
      </c>
      <c r="R46" s="165">
        <f t="shared" si="28"/>
        <v>423.20000000000005</v>
      </c>
      <c r="S46" s="218">
        <f t="shared" si="29"/>
        <v>3.1469155844155847</v>
      </c>
      <c r="T46" s="157">
        <f>E46-серпень!E46</f>
        <v>22</v>
      </c>
      <c r="U46" s="160">
        <f>F46-серпень!F46</f>
        <v>21.170000000000073</v>
      </c>
      <c r="V46" s="161">
        <f t="shared" si="23"/>
        <v>-0.8299999999999272</v>
      </c>
      <c r="W46" s="165">
        <f t="shared" si="30"/>
        <v>0.9622727272727306</v>
      </c>
      <c r="X46" s="37">
        <v>70</v>
      </c>
      <c r="Y46" s="37" t="e">
        <f>#N/A</f>
        <v>#N/A</v>
      </c>
      <c r="Z46" s="363">
        <f t="shared" si="18"/>
        <v>2.0683906746383416</v>
      </c>
    </row>
    <row r="47" spans="1:26" s="6" customFormat="1" ht="46.5">
      <c r="A47" s="8"/>
      <c r="B47" s="349" t="s">
        <v>80</v>
      </c>
      <c r="C47" s="72">
        <v>21081500</v>
      </c>
      <c r="D47" s="150">
        <v>97.5</v>
      </c>
      <c r="E47" s="150">
        <v>74.8</v>
      </c>
      <c r="F47" s="156">
        <v>78.43</v>
      </c>
      <c r="G47" s="150">
        <f t="shared" si="22"/>
        <v>3.6300000000000097</v>
      </c>
      <c r="H47" s="164">
        <f t="shared" si="24"/>
        <v>104.8529411764706</v>
      </c>
      <c r="I47" s="165">
        <f t="shared" si="25"/>
        <v>-19.069999999999993</v>
      </c>
      <c r="J47" s="165">
        <f t="shared" si="31"/>
        <v>80.44102564102565</v>
      </c>
      <c r="K47" s="165"/>
      <c r="L47" s="165"/>
      <c r="M47" s="165"/>
      <c r="N47" s="165">
        <v>86.37</v>
      </c>
      <c r="O47" s="165">
        <f t="shared" si="26"/>
        <v>11.129999999999995</v>
      </c>
      <c r="P47" s="218">
        <f t="shared" si="27"/>
        <v>1.1288641889544981</v>
      </c>
      <c r="Q47" s="165">
        <v>41.15</v>
      </c>
      <c r="R47" s="165">
        <f t="shared" si="28"/>
        <v>37.28000000000001</v>
      </c>
      <c r="S47" s="218">
        <f t="shared" si="29"/>
        <v>1.9059538274605106</v>
      </c>
      <c r="T47" s="157">
        <f>E47-серпень!E47</f>
        <v>6.799999999999997</v>
      </c>
      <c r="U47" s="160">
        <f>F47-серпень!F47</f>
        <v>6.800000000000011</v>
      </c>
      <c r="V47" s="161">
        <f t="shared" si="23"/>
        <v>1.4210854715202004E-14</v>
      </c>
      <c r="W47" s="165">
        <f t="shared" si="30"/>
        <v>1.000000000000002</v>
      </c>
      <c r="X47" s="37">
        <v>0</v>
      </c>
      <c r="Y47" s="37" t="e">
        <f>#N/A</f>
        <v>#N/A</v>
      </c>
      <c r="Z47" s="363">
        <f t="shared" si="18"/>
        <v>0.7770896385060124</v>
      </c>
    </row>
    <row r="48" spans="1:26" s="6" customFormat="1" ht="30.75">
      <c r="A48" s="8"/>
      <c r="B48" s="349" t="s">
        <v>105</v>
      </c>
      <c r="C48" s="49">
        <v>22010300</v>
      </c>
      <c r="D48" s="150">
        <v>730</v>
      </c>
      <c r="E48" s="150">
        <v>640</v>
      </c>
      <c r="F48" s="156">
        <v>906.99</v>
      </c>
      <c r="G48" s="150">
        <f t="shared" si="22"/>
        <v>266.99</v>
      </c>
      <c r="H48" s="164">
        <f t="shared" si="24"/>
        <v>141.7171875</v>
      </c>
      <c r="I48" s="165">
        <f t="shared" si="25"/>
        <v>176.99</v>
      </c>
      <c r="J48" s="165">
        <f t="shared" si="31"/>
        <v>124.24520547945205</v>
      </c>
      <c r="K48" s="165"/>
      <c r="L48" s="165"/>
      <c r="M48" s="165"/>
      <c r="N48" s="165">
        <v>791.33</v>
      </c>
      <c r="O48" s="165">
        <f t="shared" si="26"/>
        <v>-61.33000000000004</v>
      </c>
      <c r="P48" s="218">
        <f t="shared" si="27"/>
        <v>0.9224975673865518</v>
      </c>
      <c r="Q48" s="165">
        <v>428.63</v>
      </c>
      <c r="R48" s="165">
        <f t="shared" si="28"/>
        <v>478.36</v>
      </c>
      <c r="S48" s="218">
        <f t="shared" si="29"/>
        <v>2.1160208104892333</v>
      </c>
      <c r="T48" s="157">
        <f>E48-серпень!E48</f>
        <v>60</v>
      </c>
      <c r="U48" s="160">
        <f>F48-серпень!F48</f>
        <v>94.12</v>
      </c>
      <c r="V48" s="161">
        <f t="shared" si="23"/>
        <v>34.120000000000005</v>
      </c>
      <c r="W48" s="165">
        <f t="shared" si="30"/>
        <v>1.5686666666666667</v>
      </c>
      <c r="X48" s="37">
        <v>100</v>
      </c>
      <c r="Y48" s="37" t="e">
        <f>#N/A</f>
        <v>#N/A</v>
      </c>
      <c r="Z48" s="363">
        <f t="shared" si="18"/>
        <v>1.1935232431026814</v>
      </c>
    </row>
    <row r="49" spans="1:26" s="6" customFormat="1" ht="18">
      <c r="A49" s="8"/>
      <c r="B49" s="130" t="s">
        <v>223</v>
      </c>
      <c r="C49" s="49">
        <v>22010200</v>
      </c>
      <c r="D49" s="150">
        <v>0</v>
      </c>
      <c r="E49" s="150">
        <v>0</v>
      </c>
      <c r="F49" s="156">
        <v>23.38</v>
      </c>
      <c r="G49" s="150">
        <f t="shared" si="22"/>
        <v>23.38</v>
      </c>
      <c r="H49" s="164" t="e">
        <f t="shared" si="24"/>
        <v>#DIV/0!</v>
      </c>
      <c r="I49" s="165">
        <f t="shared" si="25"/>
        <v>23.38</v>
      </c>
      <c r="J49" s="165"/>
      <c r="K49" s="165"/>
      <c r="L49" s="165"/>
      <c r="M49" s="165"/>
      <c r="N49" s="165">
        <v>0</v>
      </c>
      <c r="O49" s="165">
        <f t="shared" si="26"/>
        <v>0</v>
      </c>
      <c r="P49" s="218" t="e">
        <f t="shared" si="27"/>
        <v>#DIV/0!</v>
      </c>
      <c r="Q49" s="165"/>
      <c r="R49" s="165">
        <f t="shared" si="28"/>
        <v>23.38</v>
      </c>
      <c r="S49" s="218"/>
      <c r="T49" s="157">
        <f>E49-серпень!E49</f>
        <v>0</v>
      </c>
      <c r="U49" s="160">
        <f>F49-серпень!F49</f>
        <v>0</v>
      </c>
      <c r="V49" s="161">
        <f t="shared" si="23"/>
        <v>0</v>
      </c>
      <c r="W49" s="165"/>
      <c r="X49" s="37"/>
      <c r="Y49" s="37" t="e">
        <f>#N/A</f>
        <v>#N/A</v>
      </c>
      <c r="Z49" s="363" t="e">
        <f t="shared" si="18"/>
        <v>#DIV/0!</v>
      </c>
    </row>
    <row r="50" spans="1:26" s="6" customFormat="1" ht="18">
      <c r="A50" s="8"/>
      <c r="B50" s="355" t="s">
        <v>78</v>
      </c>
      <c r="C50" s="72">
        <v>22012500</v>
      </c>
      <c r="D50" s="150">
        <v>11000</v>
      </c>
      <c r="E50" s="150">
        <v>8940</v>
      </c>
      <c r="F50" s="156">
        <v>14765.24</v>
      </c>
      <c r="G50" s="150">
        <f t="shared" si="22"/>
        <v>5825.24</v>
      </c>
      <c r="H50" s="164">
        <f t="shared" si="24"/>
        <v>165.1592841163311</v>
      </c>
      <c r="I50" s="165">
        <f t="shared" si="25"/>
        <v>3765.24</v>
      </c>
      <c r="J50" s="165">
        <f t="shared" si="31"/>
        <v>134.22945454545453</v>
      </c>
      <c r="K50" s="165"/>
      <c r="L50" s="165"/>
      <c r="M50" s="165"/>
      <c r="N50" s="165">
        <v>11422.5</v>
      </c>
      <c r="O50" s="165">
        <f t="shared" si="26"/>
        <v>-422.5</v>
      </c>
      <c r="P50" s="218">
        <f t="shared" si="27"/>
        <v>0.9630115999124534</v>
      </c>
      <c r="Q50" s="165">
        <v>8067.74</v>
      </c>
      <c r="R50" s="165">
        <f t="shared" si="28"/>
        <v>6697.5</v>
      </c>
      <c r="S50" s="218">
        <f t="shared" si="29"/>
        <v>1.8301581359835593</v>
      </c>
      <c r="T50" s="157">
        <f>E50-серпень!E50</f>
        <v>1000</v>
      </c>
      <c r="U50" s="160">
        <f>F50-серпень!F50</f>
        <v>1851.42</v>
      </c>
      <c r="V50" s="161">
        <f t="shared" si="23"/>
        <v>851.4200000000001</v>
      </c>
      <c r="W50" s="165">
        <f t="shared" si="30"/>
        <v>1.85142</v>
      </c>
      <c r="X50" s="37">
        <v>1400</v>
      </c>
      <c r="Y50" s="37" t="e">
        <f>#N/A</f>
        <v>#N/A</v>
      </c>
      <c r="Z50" s="363">
        <f t="shared" si="18"/>
        <v>0.8671465360711058</v>
      </c>
    </row>
    <row r="51" spans="1:26" s="6" customFormat="1" ht="31.5">
      <c r="A51" s="8"/>
      <c r="B51" s="355" t="s">
        <v>99</v>
      </c>
      <c r="C51" s="72">
        <v>22012600</v>
      </c>
      <c r="D51" s="150">
        <v>310</v>
      </c>
      <c r="E51" s="150">
        <v>235</v>
      </c>
      <c r="F51" s="156">
        <v>438.04</v>
      </c>
      <c r="G51" s="150">
        <f t="shared" si="22"/>
        <v>203.04000000000002</v>
      </c>
      <c r="H51" s="164">
        <f t="shared" si="24"/>
        <v>186.4</v>
      </c>
      <c r="I51" s="165">
        <f t="shared" si="25"/>
        <v>128.04000000000002</v>
      </c>
      <c r="J51" s="165">
        <f t="shared" si="31"/>
        <v>141.30322580645162</v>
      </c>
      <c r="K51" s="165"/>
      <c r="L51" s="165"/>
      <c r="M51" s="165"/>
      <c r="N51" s="165">
        <v>323.25</v>
      </c>
      <c r="O51" s="165">
        <f t="shared" si="26"/>
        <v>-13.25</v>
      </c>
      <c r="P51" s="218">
        <f t="shared" si="27"/>
        <v>0.9590100541376644</v>
      </c>
      <c r="Q51" s="165">
        <v>210.12</v>
      </c>
      <c r="R51" s="165">
        <f t="shared" si="28"/>
        <v>227.92000000000002</v>
      </c>
      <c r="S51" s="218">
        <f t="shared" si="29"/>
        <v>2.084713497049305</v>
      </c>
      <c r="T51" s="157">
        <f>E51-серпень!E51</f>
        <v>25</v>
      </c>
      <c r="U51" s="160">
        <f>F51-серпень!F51</f>
        <v>61.80000000000001</v>
      </c>
      <c r="V51" s="161">
        <f t="shared" si="23"/>
        <v>36.80000000000001</v>
      </c>
      <c r="W51" s="165">
        <f t="shared" si="30"/>
        <v>2.4720000000000004</v>
      </c>
      <c r="X51" s="37">
        <v>40</v>
      </c>
      <c r="Y51" s="37" t="e">
        <f>#N/A</f>
        <v>#N/A</v>
      </c>
      <c r="Z51" s="363">
        <f t="shared" si="18"/>
        <v>1.1257034429116408</v>
      </c>
    </row>
    <row r="52" spans="1:26" s="6" customFormat="1" ht="31.5">
      <c r="A52" s="8"/>
      <c r="B52" s="33" t="s">
        <v>106</v>
      </c>
      <c r="C52" s="72">
        <v>22012900</v>
      </c>
      <c r="D52" s="150">
        <v>20</v>
      </c>
      <c r="E52" s="150">
        <v>17</v>
      </c>
      <c r="F52" s="156">
        <v>29.28</v>
      </c>
      <c r="G52" s="150">
        <f t="shared" si="22"/>
        <v>12.280000000000001</v>
      </c>
      <c r="H52" s="164">
        <f t="shared" si="24"/>
        <v>172.23529411764707</v>
      </c>
      <c r="I52" s="165">
        <f t="shared" si="25"/>
        <v>9.280000000000001</v>
      </c>
      <c r="J52" s="165">
        <f t="shared" si="31"/>
        <v>146.4</v>
      </c>
      <c r="K52" s="165"/>
      <c r="L52" s="165"/>
      <c r="M52" s="165"/>
      <c r="N52" s="165">
        <v>22.36</v>
      </c>
      <c r="O52" s="165">
        <f t="shared" si="26"/>
        <v>-2.3599999999999994</v>
      </c>
      <c r="P52" s="218">
        <f t="shared" si="27"/>
        <v>0.8944543828264758</v>
      </c>
      <c r="Q52" s="165">
        <v>16.68</v>
      </c>
      <c r="R52" s="165">
        <f t="shared" si="28"/>
        <v>12.600000000000001</v>
      </c>
      <c r="S52" s="218">
        <f t="shared" si="29"/>
        <v>1.7553956834532376</v>
      </c>
      <c r="T52" s="157">
        <f>E52-серпень!E52</f>
        <v>1</v>
      </c>
      <c r="U52" s="160">
        <f>F52-серпень!F52</f>
        <v>-2.3999999999999986</v>
      </c>
      <c r="V52" s="161">
        <f t="shared" si="23"/>
        <v>-3.3999999999999986</v>
      </c>
      <c r="W52" s="165">
        <f t="shared" si="30"/>
        <v>-2.3999999999999986</v>
      </c>
      <c r="X52" s="37">
        <v>4</v>
      </c>
      <c r="Y52" s="37" t="e">
        <f>#N/A</f>
        <v>#N/A</v>
      </c>
      <c r="Z52" s="363">
        <f t="shared" si="18"/>
        <v>0.8609413006267618</v>
      </c>
    </row>
    <row r="53" spans="1:26" s="6" customFormat="1" ht="30.75">
      <c r="A53" s="8"/>
      <c r="B53" s="130" t="s">
        <v>14</v>
      </c>
      <c r="C53" s="49">
        <v>22080400</v>
      </c>
      <c r="D53" s="150">
        <v>7275</v>
      </c>
      <c r="E53" s="150">
        <v>5460</v>
      </c>
      <c r="F53" s="156">
        <v>4873.33</v>
      </c>
      <c r="G53" s="150">
        <f t="shared" si="22"/>
        <v>-586.6700000000001</v>
      </c>
      <c r="H53" s="164">
        <f t="shared" si="24"/>
        <v>89.25512820512822</v>
      </c>
      <c r="I53" s="165">
        <f t="shared" si="25"/>
        <v>-2401.67</v>
      </c>
      <c r="J53" s="165">
        <f t="shared" si="31"/>
        <v>66.98735395189004</v>
      </c>
      <c r="K53" s="165"/>
      <c r="L53" s="165"/>
      <c r="M53" s="165"/>
      <c r="N53" s="165">
        <v>7230.43</v>
      </c>
      <c r="O53" s="165">
        <f t="shared" si="26"/>
        <v>44.56999999999971</v>
      </c>
      <c r="P53" s="218">
        <f t="shared" si="27"/>
        <v>1.0061642253641898</v>
      </c>
      <c r="Q53" s="165">
        <v>5625.22</v>
      </c>
      <c r="R53" s="165">
        <f t="shared" si="28"/>
        <v>-751.8900000000003</v>
      </c>
      <c r="S53" s="218">
        <f t="shared" si="29"/>
        <v>0.8663358944183516</v>
      </c>
      <c r="T53" s="157">
        <f>E53-серпень!E53</f>
        <v>605</v>
      </c>
      <c r="U53" s="160">
        <f>F53-серпень!F53</f>
        <v>539.9899999999998</v>
      </c>
      <c r="V53" s="161">
        <f t="shared" si="23"/>
        <v>-65.01000000000022</v>
      </c>
      <c r="W53" s="165">
        <f t="shared" si="30"/>
        <v>0.8925454545454542</v>
      </c>
      <c r="X53" s="37">
        <v>550</v>
      </c>
      <c r="Y53" s="37" t="e">
        <f>#N/A</f>
        <v>#N/A</v>
      </c>
      <c r="Z53" s="363">
        <f t="shared" si="18"/>
        <v>-0.13982833094583824</v>
      </c>
    </row>
    <row r="54" spans="1:26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890</v>
      </c>
      <c r="F54" s="156">
        <v>626.97</v>
      </c>
      <c r="G54" s="150">
        <f t="shared" si="22"/>
        <v>-263.03</v>
      </c>
      <c r="H54" s="164">
        <f t="shared" si="24"/>
        <v>70.44606741573034</v>
      </c>
      <c r="I54" s="165">
        <f t="shared" si="25"/>
        <v>-573.03</v>
      </c>
      <c r="J54" s="165">
        <f t="shared" si="31"/>
        <v>52.2475</v>
      </c>
      <c r="K54" s="165"/>
      <c r="L54" s="165"/>
      <c r="M54" s="165"/>
      <c r="N54" s="165">
        <v>5161.34</v>
      </c>
      <c r="O54" s="165">
        <f t="shared" si="26"/>
        <v>-3961.34</v>
      </c>
      <c r="P54" s="218">
        <f t="shared" si="27"/>
        <v>0.23249776220903873</v>
      </c>
      <c r="Q54" s="165">
        <v>4925.62</v>
      </c>
      <c r="R54" s="165">
        <f t="shared" si="28"/>
        <v>-4298.65</v>
      </c>
      <c r="S54" s="218">
        <f t="shared" si="29"/>
        <v>0.1272875292856534</v>
      </c>
      <c r="T54" s="157">
        <f>E54-серпень!E54</f>
        <v>100</v>
      </c>
      <c r="U54" s="160">
        <f>F54-серпень!F54</f>
        <v>75.98000000000002</v>
      </c>
      <c r="V54" s="161">
        <f t="shared" si="23"/>
        <v>-24.019999999999982</v>
      </c>
      <c r="W54" s="165">
        <f t="shared" si="30"/>
        <v>0.7598000000000001</v>
      </c>
      <c r="X54" s="37">
        <v>50</v>
      </c>
      <c r="Y54" s="37" t="e">
        <f>#N/A</f>
        <v>#N/A</v>
      </c>
      <c r="Z54" s="363">
        <f t="shared" si="18"/>
        <v>-0.10521023292338533</v>
      </c>
    </row>
    <row r="55" spans="1:26" s="6" customFormat="1" ht="18" hidden="1">
      <c r="A55" s="8"/>
      <c r="B55" s="361" t="s">
        <v>97</v>
      </c>
      <c r="C55" s="123">
        <v>22090100</v>
      </c>
      <c r="D55" s="103">
        <v>998</v>
      </c>
      <c r="E55" s="103">
        <v>740</v>
      </c>
      <c r="F55" s="140">
        <v>528.02</v>
      </c>
      <c r="G55" s="103">
        <f t="shared" si="22"/>
        <v>-211.98000000000002</v>
      </c>
      <c r="H55" s="105">
        <f t="shared" si="24"/>
        <v>71.35405405405405</v>
      </c>
      <c r="I55" s="104">
        <f t="shared" si="25"/>
        <v>-469.98</v>
      </c>
      <c r="J55" s="104">
        <f t="shared" si="31"/>
        <v>52.90781563126252</v>
      </c>
      <c r="K55" s="104"/>
      <c r="L55" s="104"/>
      <c r="M55" s="104"/>
      <c r="N55" s="104">
        <v>835.21</v>
      </c>
      <c r="O55" s="104">
        <f t="shared" si="26"/>
        <v>162.78999999999996</v>
      </c>
      <c r="P55" s="109">
        <f t="shared" si="27"/>
        <v>1.1949090647861016</v>
      </c>
      <c r="Q55" s="104">
        <v>643.11</v>
      </c>
      <c r="R55" s="165">
        <f t="shared" si="28"/>
        <v>-115.09000000000003</v>
      </c>
      <c r="S55" s="218">
        <f t="shared" si="29"/>
        <v>0.8210415014538726</v>
      </c>
      <c r="T55" s="105">
        <f>E55-серпень!E55</f>
        <v>80</v>
      </c>
      <c r="U55" s="144">
        <f>F55-серпень!F55</f>
        <v>61.039999999999964</v>
      </c>
      <c r="V55" s="106">
        <f t="shared" si="23"/>
        <v>-18.960000000000036</v>
      </c>
      <c r="W55" s="104">
        <f t="shared" si="30"/>
        <v>0.7629999999999996</v>
      </c>
      <c r="X55" s="37"/>
      <c r="Y55" s="37" t="e">
        <f>#N/A</f>
        <v>#N/A</v>
      </c>
      <c r="Z55" s="363">
        <f t="shared" si="18"/>
        <v>-0.37386756333222904</v>
      </c>
    </row>
    <row r="56" spans="1:26" s="6" customFormat="1" ht="18" hidden="1">
      <c r="A56" s="8"/>
      <c r="B56" s="361" t="s">
        <v>94</v>
      </c>
      <c r="C56" s="123">
        <v>22090200</v>
      </c>
      <c r="D56" s="103">
        <v>1</v>
      </c>
      <c r="E56" s="103">
        <v>0</v>
      </c>
      <c r="F56" s="140">
        <v>0.15</v>
      </c>
      <c r="G56" s="103">
        <f t="shared" si="22"/>
        <v>0.15</v>
      </c>
      <c r="H56" s="105" t="e">
        <f t="shared" si="24"/>
        <v>#DIV/0!</v>
      </c>
      <c r="I56" s="104">
        <f t="shared" si="25"/>
        <v>-0.85</v>
      </c>
      <c r="J56" s="104">
        <f t="shared" si="31"/>
        <v>15</v>
      </c>
      <c r="K56" s="104"/>
      <c r="L56" s="104"/>
      <c r="M56" s="104"/>
      <c r="N56" s="104">
        <v>0.38</v>
      </c>
      <c r="O56" s="104">
        <f t="shared" si="26"/>
        <v>0.62</v>
      </c>
      <c r="P56" s="109">
        <f t="shared" si="27"/>
        <v>2.6315789473684212</v>
      </c>
      <c r="Q56" s="104">
        <v>0.27</v>
      </c>
      <c r="R56" s="165">
        <f t="shared" si="28"/>
        <v>-0.12000000000000002</v>
      </c>
      <c r="S56" s="218">
        <f t="shared" si="29"/>
        <v>0.5555555555555555</v>
      </c>
      <c r="T56" s="105">
        <f>E56-серпень!E56</f>
        <v>0</v>
      </c>
      <c r="U56" s="144">
        <f>F56-серпень!F56</f>
        <v>0</v>
      </c>
      <c r="V56" s="106">
        <f t="shared" si="23"/>
        <v>0</v>
      </c>
      <c r="W56" s="104"/>
      <c r="X56" s="37"/>
      <c r="Y56" s="37" t="e">
        <f>#N/A</f>
        <v>#N/A</v>
      </c>
      <c r="Z56" s="363">
        <f t="shared" si="18"/>
        <v>-2.076023391812866</v>
      </c>
    </row>
    <row r="57" spans="1:26" s="6" customFormat="1" ht="18" hidden="1">
      <c r="A57" s="8"/>
      <c r="B57" s="361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103">
        <f t="shared" si="22"/>
        <v>0</v>
      </c>
      <c r="H57" s="105" t="e">
        <f t="shared" si="24"/>
        <v>#DIV/0!</v>
      </c>
      <c r="I57" s="104">
        <f t="shared" si="25"/>
        <v>-1</v>
      </c>
      <c r="J57" s="104">
        <f t="shared" si="31"/>
        <v>0</v>
      </c>
      <c r="K57" s="104"/>
      <c r="L57" s="104"/>
      <c r="M57" s="104"/>
      <c r="N57" s="104">
        <v>0.02</v>
      </c>
      <c r="O57" s="104">
        <f t="shared" si="26"/>
        <v>0.98</v>
      </c>
      <c r="P57" s="109">
        <f t="shared" si="27"/>
        <v>50</v>
      </c>
      <c r="Q57" s="104">
        <v>0.02</v>
      </c>
      <c r="R57" s="165">
        <f t="shared" si="28"/>
        <v>-0.02</v>
      </c>
      <c r="S57" s="218">
        <f t="shared" si="29"/>
        <v>0</v>
      </c>
      <c r="T57" s="105">
        <f>E57-серпень!E57</f>
        <v>0</v>
      </c>
      <c r="U57" s="144">
        <f>F57-серпень!F57</f>
        <v>0</v>
      </c>
      <c r="V57" s="106">
        <f t="shared" si="23"/>
        <v>0</v>
      </c>
      <c r="W57" s="104"/>
      <c r="X57" s="37"/>
      <c r="Y57" s="37" t="e">
        <f>#N/A</f>
        <v>#N/A</v>
      </c>
      <c r="Z57" s="363">
        <f t="shared" si="18"/>
        <v>-50</v>
      </c>
    </row>
    <row r="58" spans="1:26" s="6" customFormat="1" ht="18" hidden="1">
      <c r="A58" s="8"/>
      <c r="B58" s="361" t="s">
        <v>96</v>
      </c>
      <c r="C58" s="123">
        <v>22090400</v>
      </c>
      <c r="D58" s="103">
        <v>200</v>
      </c>
      <c r="E58" s="103">
        <v>150</v>
      </c>
      <c r="F58" s="140">
        <v>98.8</v>
      </c>
      <c r="G58" s="103">
        <f t="shared" si="22"/>
        <v>-51.2</v>
      </c>
      <c r="H58" s="105">
        <f t="shared" si="24"/>
        <v>65.86666666666666</v>
      </c>
      <c r="I58" s="104">
        <f t="shared" si="25"/>
        <v>-101.2</v>
      </c>
      <c r="J58" s="104">
        <f t="shared" si="31"/>
        <v>49.4</v>
      </c>
      <c r="K58" s="104"/>
      <c r="L58" s="104"/>
      <c r="M58" s="104"/>
      <c r="N58" s="104">
        <v>4325.74</v>
      </c>
      <c r="O58" s="104">
        <f t="shared" si="26"/>
        <v>-4125.74</v>
      </c>
      <c r="P58" s="109">
        <f t="shared" si="27"/>
        <v>0.04623486386144336</v>
      </c>
      <c r="Q58" s="104">
        <v>4282.22</v>
      </c>
      <c r="R58" s="165">
        <f t="shared" si="28"/>
        <v>-4183.42</v>
      </c>
      <c r="S58" s="218">
        <f t="shared" si="29"/>
        <v>0.023072144822078266</v>
      </c>
      <c r="T58" s="105">
        <f>E58-серпень!E58</f>
        <v>20</v>
      </c>
      <c r="U58" s="144">
        <f>F58-серпень!F58</f>
        <v>14.939999999999998</v>
      </c>
      <c r="V58" s="106">
        <f t="shared" si="23"/>
        <v>-5.060000000000002</v>
      </c>
      <c r="W58" s="104">
        <f t="shared" si="30"/>
        <v>0.7469999999999999</v>
      </c>
      <c r="X58" s="37"/>
      <c r="Y58" s="37" t="e">
        <f>#N/A</f>
        <v>#N/A</v>
      </c>
      <c r="Z58" s="363">
        <f t="shared" si="18"/>
        <v>-0.023162719039365096</v>
      </c>
    </row>
    <row r="59" spans="1:26" s="6" customFormat="1" ht="46.5">
      <c r="A59" s="8"/>
      <c r="B59" s="130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50">
        <f t="shared" si="22"/>
        <v>-0.45999999999999996</v>
      </c>
      <c r="H59" s="164">
        <f>F59/E59*100</f>
        <v>81.60000000000001</v>
      </c>
      <c r="I59" s="165">
        <f t="shared" si="25"/>
        <v>-0.45999999999999996</v>
      </c>
      <c r="J59" s="165">
        <f t="shared" si="31"/>
        <v>81.60000000000001</v>
      </c>
      <c r="K59" s="165"/>
      <c r="L59" s="165"/>
      <c r="M59" s="165"/>
      <c r="N59" s="165">
        <v>2.46</v>
      </c>
      <c r="O59" s="165">
        <f t="shared" si="26"/>
        <v>0.040000000000000036</v>
      </c>
      <c r="P59" s="218">
        <f t="shared" si="27"/>
        <v>1.016260162601626</v>
      </c>
      <c r="Q59" s="165">
        <v>2.46</v>
      </c>
      <c r="R59" s="165">
        <f t="shared" si="28"/>
        <v>-0.41999999999999993</v>
      </c>
      <c r="S59" s="218">
        <f t="shared" si="29"/>
        <v>0.8292682926829269</v>
      </c>
      <c r="T59" s="157">
        <f>E59-серпень!E59</f>
        <v>0</v>
      </c>
      <c r="U59" s="160">
        <f>F59-серпень!F59</f>
        <v>0</v>
      </c>
      <c r="V59" s="161">
        <f t="shared" si="23"/>
        <v>0</v>
      </c>
      <c r="W59" s="165"/>
      <c r="X59" s="37">
        <v>0</v>
      </c>
      <c r="Y59" s="37" t="e">
        <f>#N/A</f>
        <v>#N/A</v>
      </c>
      <c r="Z59" s="363">
        <f t="shared" si="18"/>
        <v>-0.1869918699186992</v>
      </c>
    </row>
    <row r="60" spans="1:26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v>6400</v>
      </c>
      <c r="F60" s="156">
        <v>6761.56</v>
      </c>
      <c r="G60" s="150">
        <f t="shared" si="22"/>
        <v>361.5600000000004</v>
      </c>
      <c r="H60" s="164">
        <f aca="true" t="shared" si="32" ref="H60:H66">F60/E60*100</f>
        <v>105.649375</v>
      </c>
      <c r="I60" s="165">
        <f t="shared" si="25"/>
        <v>-588.4399999999996</v>
      </c>
      <c r="J60" s="165">
        <f t="shared" si="31"/>
        <v>91.99401360544218</v>
      </c>
      <c r="K60" s="165"/>
      <c r="L60" s="165"/>
      <c r="M60" s="165"/>
      <c r="N60" s="165">
        <v>6525.16</v>
      </c>
      <c r="O60" s="165">
        <f t="shared" si="26"/>
        <v>824.8400000000001</v>
      </c>
      <c r="P60" s="218">
        <f t="shared" si="27"/>
        <v>1.1264091608481632</v>
      </c>
      <c r="Q60" s="165">
        <v>5154.13</v>
      </c>
      <c r="R60" s="165">
        <f t="shared" si="28"/>
        <v>1607.4300000000003</v>
      </c>
      <c r="S60" s="218">
        <f t="shared" si="29"/>
        <v>1.3118722267385572</v>
      </c>
      <c r="T60" s="157">
        <f>E60-серпень!E60</f>
        <v>340</v>
      </c>
      <c r="U60" s="160">
        <f>F60-серпень!F60</f>
        <v>884.2300000000005</v>
      </c>
      <c r="V60" s="161">
        <f t="shared" si="23"/>
        <v>544.2300000000005</v>
      </c>
      <c r="W60" s="165">
        <f t="shared" si="30"/>
        <v>2.600676470588237</v>
      </c>
      <c r="X60" s="37">
        <v>500</v>
      </c>
      <c r="Y60" s="37" t="e">
        <f>#N/A</f>
        <v>#N/A</v>
      </c>
      <c r="Z60" s="363">
        <f t="shared" si="18"/>
        <v>0.18546306589039396</v>
      </c>
    </row>
    <row r="61" spans="1:26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50">
        <f t="shared" si="22"/>
        <v>0</v>
      </c>
      <c r="H61" s="164" t="e">
        <f t="shared" si="32"/>
        <v>#DIV/0!</v>
      </c>
      <c r="I61" s="165">
        <f t="shared" si="25"/>
        <v>0</v>
      </c>
      <c r="J61" s="165" t="e">
        <f t="shared" si="31"/>
        <v>#DIV/0!</v>
      </c>
      <c r="K61" s="165"/>
      <c r="L61" s="165"/>
      <c r="M61" s="165"/>
      <c r="N61" s="165"/>
      <c r="O61" s="165"/>
      <c r="P61" s="218"/>
      <c r="Q61" s="165">
        <v>0</v>
      </c>
      <c r="R61" s="165">
        <f t="shared" si="28"/>
        <v>0</v>
      </c>
      <c r="S61" s="218" t="e">
        <f t="shared" si="29"/>
        <v>#DIV/0!</v>
      </c>
      <c r="T61" s="157">
        <f>E61-серпень!E61</f>
        <v>0</v>
      </c>
      <c r="U61" s="160">
        <f>F61-серпень!F61</f>
        <v>0</v>
      </c>
      <c r="V61" s="161">
        <f t="shared" si="23"/>
        <v>0</v>
      </c>
      <c r="W61" s="165" t="e">
        <f t="shared" si="30"/>
        <v>#DIV/0!</v>
      </c>
      <c r="X61" s="37"/>
      <c r="Y61" s="37" t="e">
        <f>#N/A</f>
        <v>#N/A</v>
      </c>
      <c r="Z61" s="363" t="e">
        <f t="shared" si="18"/>
        <v>#DIV/0!</v>
      </c>
    </row>
    <row r="62" spans="1:26" s="6" customFormat="1" ht="30.75">
      <c r="A62" s="8"/>
      <c r="B62" s="50" t="s">
        <v>42</v>
      </c>
      <c r="C62" s="61"/>
      <c r="D62" s="103"/>
      <c r="E62" s="103"/>
      <c r="F62" s="201">
        <v>1567.87</v>
      </c>
      <c r="G62" s="253"/>
      <c r="H62" s="164"/>
      <c r="I62" s="254"/>
      <c r="J62" s="254"/>
      <c r="K62" s="254"/>
      <c r="L62" s="254"/>
      <c r="M62" s="254"/>
      <c r="N62" s="254">
        <v>1411.18</v>
      </c>
      <c r="O62" s="165"/>
      <c r="P62" s="218"/>
      <c r="Q62" s="166">
        <v>1002.97</v>
      </c>
      <c r="R62" s="254"/>
      <c r="S62" s="305">
        <f t="shared" si="29"/>
        <v>1.563227215170942</v>
      </c>
      <c r="T62" s="195"/>
      <c r="U62" s="179">
        <f>F62-серпень!F62</f>
        <v>161.01999999999998</v>
      </c>
      <c r="V62" s="166">
        <f t="shared" si="23"/>
        <v>161.01999999999998</v>
      </c>
      <c r="W62" s="165"/>
      <c r="X62" s="37"/>
      <c r="Y62" s="37" t="e">
        <f>#N/A</f>
        <v>#N/A</v>
      </c>
      <c r="Z62" s="363"/>
    </row>
    <row r="63" spans="1:26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50">
        <f t="shared" si="22"/>
        <v>0</v>
      </c>
      <c r="H63" s="164" t="e">
        <f t="shared" si="32"/>
        <v>#DIV/0!</v>
      </c>
      <c r="I63" s="165">
        <f t="shared" si="25"/>
        <v>0</v>
      </c>
      <c r="J63" s="165" t="e">
        <f t="shared" si="31"/>
        <v>#DIV/0!</v>
      </c>
      <c r="K63" s="165"/>
      <c r="L63" s="165"/>
      <c r="M63" s="165"/>
      <c r="N63" s="165"/>
      <c r="O63" s="165"/>
      <c r="P63" s="218"/>
      <c r="Q63" s="166">
        <v>0</v>
      </c>
      <c r="R63" s="165">
        <f t="shared" si="28"/>
        <v>0</v>
      </c>
      <c r="S63" s="218" t="e">
        <f t="shared" si="29"/>
        <v>#DIV/0!</v>
      </c>
      <c r="T63" s="157">
        <f>E63-серпень!E63</f>
        <v>0</v>
      </c>
      <c r="U63" s="160">
        <f>F63-серпень!F63</f>
        <v>0</v>
      </c>
      <c r="V63" s="161">
        <f t="shared" si="23"/>
        <v>0</v>
      </c>
      <c r="W63" s="165" t="e">
        <f t="shared" si="30"/>
        <v>#DIV/0!</v>
      </c>
      <c r="X63" s="37"/>
      <c r="Y63" s="37" t="e">
        <f>#N/A</f>
        <v>#N/A</v>
      </c>
      <c r="Z63" s="363" t="e">
        <f t="shared" si="18"/>
        <v>#DIV/0!</v>
      </c>
    </row>
    <row r="64" spans="1:26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90</v>
      </c>
      <c r="F64" s="156">
        <v>60.14</v>
      </c>
      <c r="G64" s="150">
        <f t="shared" si="22"/>
        <v>-29.86</v>
      </c>
      <c r="H64" s="164">
        <f t="shared" si="32"/>
        <v>66.82222222222222</v>
      </c>
      <c r="I64" s="165">
        <f t="shared" si="25"/>
        <v>-99.86</v>
      </c>
      <c r="J64" s="165">
        <f t="shared" si="31"/>
        <v>37.5875</v>
      </c>
      <c r="K64" s="165"/>
      <c r="L64" s="165"/>
      <c r="M64" s="165"/>
      <c r="N64" s="165">
        <v>226.72</v>
      </c>
      <c r="O64" s="165">
        <f>D64-N64</f>
        <v>-66.72</v>
      </c>
      <c r="P64" s="218">
        <f>D64/N64</f>
        <v>0.7057163020465773</v>
      </c>
      <c r="Q64" s="165">
        <v>158.93</v>
      </c>
      <c r="R64" s="165">
        <f t="shared" si="28"/>
        <v>-98.79</v>
      </c>
      <c r="S64" s="218">
        <f t="shared" si="29"/>
        <v>0.37840558736550683</v>
      </c>
      <c r="T64" s="157">
        <f>E64-серпень!E64</f>
        <v>10</v>
      </c>
      <c r="U64" s="160">
        <f>F64-серпень!F64</f>
        <v>0</v>
      </c>
      <c r="V64" s="161">
        <f t="shared" si="23"/>
        <v>-10</v>
      </c>
      <c r="W64" s="165">
        <f t="shared" si="30"/>
        <v>0</v>
      </c>
      <c r="X64" s="37">
        <v>0</v>
      </c>
      <c r="Y64" s="37" t="e">
        <f>#N/A</f>
        <v>#N/A</v>
      </c>
      <c r="Z64" s="363">
        <f t="shared" si="18"/>
        <v>-0.3273107146810705</v>
      </c>
    </row>
    <row r="65" spans="1:26" s="6" customFormat="1" ht="18">
      <c r="A65" s="8"/>
      <c r="B65" s="131" t="s">
        <v>44</v>
      </c>
      <c r="C65" s="43">
        <v>31010200</v>
      </c>
      <c r="D65" s="150">
        <v>15</v>
      </c>
      <c r="E65" s="150">
        <v>11.3</v>
      </c>
      <c r="F65" s="156">
        <v>34.22</v>
      </c>
      <c r="G65" s="150">
        <f t="shared" si="22"/>
        <v>22.919999999999998</v>
      </c>
      <c r="H65" s="164">
        <f t="shared" si="32"/>
        <v>302.8318584070796</v>
      </c>
      <c r="I65" s="165">
        <f t="shared" si="25"/>
        <v>19.22</v>
      </c>
      <c r="J65" s="165">
        <f t="shared" si="31"/>
        <v>228.13333333333335</v>
      </c>
      <c r="K65" s="165"/>
      <c r="L65" s="165"/>
      <c r="M65" s="165"/>
      <c r="N65" s="165">
        <v>13.52</v>
      </c>
      <c r="O65" s="165">
        <f>D65-N65</f>
        <v>1.4800000000000004</v>
      </c>
      <c r="P65" s="218">
        <f>D65/N65</f>
        <v>1.1094674556213018</v>
      </c>
      <c r="Q65" s="165">
        <v>13.52</v>
      </c>
      <c r="R65" s="165">
        <f t="shared" si="28"/>
        <v>20.7</v>
      </c>
      <c r="S65" s="218">
        <f t="shared" si="29"/>
        <v>2.5310650887573964</v>
      </c>
      <c r="T65" s="157">
        <f>E65-серпень!E65</f>
        <v>1.1999999999999993</v>
      </c>
      <c r="U65" s="160">
        <f>F65-серпень!F65</f>
        <v>3.2699999999999996</v>
      </c>
      <c r="V65" s="161">
        <f t="shared" si="23"/>
        <v>2.0700000000000003</v>
      </c>
      <c r="W65" s="165">
        <f t="shared" si="30"/>
        <v>2.7250000000000014</v>
      </c>
      <c r="X65" s="37">
        <v>3.2</v>
      </c>
      <c r="Y65" s="37" t="e">
        <f>#N/A</f>
        <v>#N/A</v>
      </c>
      <c r="Z65" s="363">
        <f t="shared" si="18"/>
        <v>1.4215976331360947</v>
      </c>
    </row>
    <row r="66" spans="1:26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-5.17</v>
      </c>
      <c r="G66" s="150">
        <f t="shared" si="22"/>
        <v>-5.17</v>
      </c>
      <c r="H66" s="164" t="e">
        <f t="shared" si="32"/>
        <v>#DIV/0!</v>
      </c>
      <c r="I66" s="165">
        <f t="shared" si="25"/>
        <v>-5.17</v>
      </c>
      <c r="J66" s="165"/>
      <c r="K66" s="165"/>
      <c r="L66" s="165"/>
      <c r="M66" s="165"/>
      <c r="N66" s="165">
        <v>7.37</v>
      </c>
      <c r="O66" s="165">
        <f>D66-N66</f>
        <v>-7.37</v>
      </c>
      <c r="P66" s="218">
        <f>D66/N66</f>
        <v>0</v>
      </c>
      <c r="Q66" s="165">
        <v>1.02</v>
      </c>
      <c r="R66" s="165">
        <f t="shared" si="28"/>
        <v>-6.1899999999999995</v>
      </c>
      <c r="S66" s="218">
        <f t="shared" si="29"/>
        <v>-5.068627450980392</v>
      </c>
      <c r="T66" s="157">
        <f>E66-серпень!E66</f>
        <v>0</v>
      </c>
      <c r="U66" s="160">
        <f>F66-серпень!F66</f>
        <v>0</v>
      </c>
      <c r="V66" s="161">
        <f t="shared" si="23"/>
        <v>0</v>
      </c>
      <c r="W66" s="165"/>
      <c r="X66" s="37">
        <v>0</v>
      </c>
      <c r="Y66" s="37" t="e">
        <f>#N/A</f>
        <v>#N/A</v>
      </c>
      <c r="Z66" s="363">
        <f t="shared" si="18"/>
        <v>-5.068627450980392</v>
      </c>
    </row>
    <row r="67" spans="1:26" s="6" customFormat="1" ht="17.25">
      <c r="A67" s="9"/>
      <c r="B67" s="14" t="s">
        <v>184</v>
      </c>
      <c r="C67" s="62"/>
      <c r="D67" s="151">
        <f>D8+D41+D65+D66</f>
        <v>1357491.1</v>
      </c>
      <c r="E67" s="151">
        <f>E8+E41+E65+E66</f>
        <v>992191.2000000001</v>
      </c>
      <c r="F67" s="151">
        <f>F8+F41+F65+F66</f>
        <v>989728.1</v>
      </c>
      <c r="G67" s="151">
        <f>F67-E67</f>
        <v>-2463.100000000093</v>
      </c>
      <c r="H67" s="152">
        <f>F67/E67*100</f>
        <v>99.75175147693307</v>
      </c>
      <c r="I67" s="153">
        <f>F67-D67</f>
        <v>-367763.0000000001</v>
      </c>
      <c r="J67" s="153">
        <f>F67/D67*100</f>
        <v>72.9086253309506</v>
      </c>
      <c r="K67" s="153"/>
      <c r="L67" s="153"/>
      <c r="M67" s="153"/>
      <c r="N67" s="153">
        <v>1053569.51</v>
      </c>
      <c r="O67" s="153">
        <f>D67-N67</f>
        <v>303921.5900000001</v>
      </c>
      <c r="P67" s="219">
        <f>D67/N67</f>
        <v>1.288468475136491</v>
      </c>
      <c r="Q67" s="151">
        <v>757500.07</v>
      </c>
      <c r="R67" s="153">
        <f>F67-Q67</f>
        <v>232228.03000000003</v>
      </c>
      <c r="S67" s="219">
        <f>F67/Q67</f>
        <v>1.3065716284356252</v>
      </c>
      <c r="T67" s="151">
        <f>T8+T41+T65+T66</f>
        <v>105792.39999999997</v>
      </c>
      <c r="U67" s="151">
        <f>U8+U41+U65+U66</f>
        <v>104213.94</v>
      </c>
      <c r="V67" s="194">
        <f>U67-T67</f>
        <v>-1578.4599999999627</v>
      </c>
      <c r="W67" s="153">
        <f>U67/T67*100</f>
        <v>98.5079646553061</v>
      </c>
      <c r="X67" s="27">
        <f>X8+X41+X65+X66</f>
        <v>108115.7</v>
      </c>
      <c r="Y67" s="280">
        <f>U67-X67</f>
        <v>-3901.7599999999948</v>
      </c>
      <c r="Z67" s="363">
        <f t="shared" si="18"/>
        <v>0.018103153299134256</v>
      </c>
    </row>
    <row r="68" spans="1:26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35"/>
      <c r="O68" s="35"/>
      <c r="P68" s="96"/>
      <c r="Q68" s="35"/>
      <c r="R68" s="35"/>
      <c r="S68" s="35"/>
      <c r="T68" s="47"/>
      <c r="U68" s="46"/>
      <c r="V68" s="79"/>
      <c r="W68" s="35"/>
      <c r="X68" s="35"/>
      <c r="Y68" s="35"/>
      <c r="Z68" s="363">
        <f t="shared" si="18"/>
        <v>0</v>
      </c>
    </row>
    <row r="69" spans="1:26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5"/>
      <c r="O69" s="35"/>
      <c r="P69" s="96"/>
      <c r="Q69" s="35"/>
      <c r="R69" s="35"/>
      <c r="S69" s="35"/>
      <c r="T69" s="30"/>
      <c r="U69" s="46"/>
      <c r="V69" s="59"/>
      <c r="W69" s="35"/>
      <c r="X69" s="35"/>
      <c r="Y69" s="35"/>
      <c r="Z69" s="363">
        <f t="shared" si="18"/>
        <v>0</v>
      </c>
    </row>
    <row r="70" spans="1:26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5"/>
      <c r="O70" s="35"/>
      <c r="P70" s="96"/>
      <c r="Q70" s="35"/>
      <c r="R70" s="35"/>
      <c r="S70" s="35"/>
      <c r="T70" s="30"/>
      <c r="U70" s="57"/>
      <c r="V70" s="79"/>
      <c r="W70" s="35"/>
      <c r="X70" s="35"/>
      <c r="Y70" s="35"/>
      <c r="Z70" s="363">
        <f t="shared" si="18"/>
        <v>0</v>
      </c>
    </row>
    <row r="71" spans="2:26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8"/>
      <c r="O71" s="38"/>
      <c r="P71" s="97"/>
      <c r="Q71" s="38"/>
      <c r="R71" s="38"/>
      <c r="S71" s="38"/>
      <c r="T71" s="31"/>
      <c r="U71" s="146"/>
      <c r="V71" s="36"/>
      <c r="W71" s="38"/>
      <c r="X71" s="38"/>
      <c r="Y71" s="38"/>
      <c r="Z71" s="363">
        <f t="shared" si="18"/>
        <v>0</v>
      </c>
    </row>
    <row r="72" spans="2:26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/>
      <c r="L72" s="167"/>
      <c r="M72" s="167"/>
      <c r="N72" s="167"/>
      <c r="O72" s="167"/>
      <c r="P72" s="209"/>
      <c r="Q72" s="167">
        <v>-3.83</v>
      </c>
      <c r="R72" s="167">
        <f>F72-Q72</f>
        <v>3.84</v>
      </c>
      <c r="S72" s="209">
        <f>F72/Q72</f>
        <v>-0.0026109660574412533</v>
      </c>
      <c r="T72" s="162">
        <f>E72-квітень!E72</f>
        <v>0</v>
      </c>
      <c r="U72" s="182">
        <f>F72-квітень!F72</f>
        <v>0</v>
      </c>
      <c r="V72" s="167"/>
      <c r="W72" s="167"/>
      <c r="X72" s="38"/>
      <c r="Y72" s="38"/>
      <c r="Z72" s="363">
        <f t="shared" si="18"/>
        <v>-0.0026109660574412533</v>
      </c>
    </row>
    <row r="73" spans="2:26" ht="31.5">
      <c r="B73" s="23" t="s">
        <v>62</v>
      </c>
      <c r="C73" s="73">
        <v>18041500</v>
      </c>
      <c r="D73" s="180">
        <v>0</v>
      </c>
      <c r="E73" s="180"/>
      <c r="F73" s="181">
        <v>-2.64</v>
      </c>
      <c r="G73" s="162">
        <f>F73-E73</f>
        <v>-2.64</v>
      </c>
      <c r="H73" s="164"/>
      <c r="I73" s="167">
        <f>F73-D73</f>
        <v>-2.64</v>
      </c>
      <c r="J73" s="167"/>
      <c r="K73" s="167"/>
      <c r="L73" s="167"/>
      <c r="M73" s="167"/>
      <c r="N73" s="167">
        <v>-10.19</v>
      </c>
      <c r="O73" s="167">
        <f>D73-N73</f>
        <v>10.19</v>
      </c>
      <c r="P73" s="209">
        <f>D73/N73</f>
        <v>0</v>
      </c>
      <c r="Q73" s="167">
        <v>-3.83</v>
      </c>
      <c r="R73" s="167">
        <f>F73-Q73</f>
        <v>1.19</v>
      </c>
      <c r="S73" s="209">
        <f>F73/Q73</f>
        <v>0.6892950391644909</v>
      </c>
      <c r="T73" s="162">
        <f>E73-серпень!E73</f>
        <v>0</v>
      </c>
      <c r="U73" s="160">
        <f>F73-серпень!F73</f>
        <v>0</v>
      </c>
      <c r="V73" s="167">
        <f>U73-T73</f>
        <v>0</v>
      </c>
      <c r="W73" s="167"/>
      <c r="X73" s="38"/>
      <c r="Y73" s="38"/>
      <c r="Z73" s="363">
        <f t="shared" si="18"/>
        <v>0.6892950391644909</v>
      </c>
    </row>
    <row r="74" spans="2:26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-2.6300000000000003</v>
      </c>
      <c r="G74" s="185">
        <f>F74-E74</f>
        <v>-2.6300000000000003</v>
      </c>
      <c r="H74" s="186"/>
      <c r="I74" s="187">
        <f>F74-D74</f>
        <v>-2.6300000000000003</v>
      </c>
      <c r="J74" s="187"/>
      <c r="K74" s="187"/>
      <c r="L74" s="187"/>
      <c r="M74" s="187"/>
      <c r="N74" s="187">
        <v>-10.18</v>
      </c>
      <c r="O74" s="187">
        <f>D74-N74</f>
        <v>10.18</v>
      </c>
      <c r="P74" s="214">
        <f>D74/N74</f>
        <v>0</v>
      </c>
      <c r="Q74" s="187">
        <v>-3.8200000000000003</v>
      </c>
      <c r="R74" s="187">
        <f aca="true" t="shared" si="33" ref="R74:R86">F74-Q74</f>
        <v>1.19</v>
      </c>
      <c r="S74" s="214">
        <f aca="true" t="shared" si="34" ref="S74:S89">F74/Q74</f>
        <v>0.6884816753926702</v>
      </c>
      <c r="T74" s="185">
        <f>SUM(T72:T73)</f>
        <v>0</v>
      </c>
      <c r="U74" s="188">
        <f>SUM(U72:U73)</f>
        <v>0</v>
      </c>
      <c r="V74" s="187">
        <f>U74-T74</f>
        <v>0</v>
      </c>
      <c r="W74" s="187"/>
      <c r="X74" s="39"/>
      <c r="Y74" s="39"/>
      <c r="Z74" s="363">
        <f t="shared" si="18"/>
        <v>0.6884816753926702</v>
      </c>
    </row>
    <row r="75" spans="2:26" ht="45.7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 aca="true" t="shared" si="35" ref="G75:G86">F75-E75</f>
        <v>35.57</v>
      </c>
      <c r="H75" s="186"/>
      <c r="I75" s="187">
        <f>F75-D75</f>
        <v>35.57</v>
      </c>
      <c r="J75" s="187"/>
      <c r="K75" s="187"/>
      <c r="L75" s="187"/>
      <c r="M75" s="187"/>
      <c r="N75" s="187">
        <v>0</v>
      </c>
      <c r="O75" s="187">
        <f aca="true" t="shared" si="36" ref="O75:O86">D75-N75</f>
        <v>0</v>
      </c>
      <c r="P75" s="214" t="e">
        <f aca="true" t="shared" si="37" ref="P75:P86">D75/N75</f>
        <v>#DIV/0!</v>
      </c>
      <c r="Q75" s="187">
        <v>0</v>
      </c>
      <c r="R75" s="187">
        <f t="shared" si="33"/>
        <v>35.57</v>
      </c>
      <c r="S75" s="209"/>
      <c r="T75" s="186">
        <f>E75-серпень!E75</f>
        <v>0</v>
      </c>
      <c r="U75" s="289">
        <f>F75-серпень!F75</f>
        <v>0</v>
      </c>
      <c r="V75" s="187">
        <f aca="true" t="shared" si="38" ref="V75:V86">U75-T75</f>
        <v>0</v>
      </c>
      <c r="W75" s="187"/>
      <c r="X75" s="38"/>
      <c r="Y75" s="38"/>
      <c r="Z75" s="363"/>
    </row>
    <row r="76" spans="2:26" ht="31.5">
      <c r="B76" s="23" t="s">
        <v>29</v>
      </c>
      <c r="C76" s="73">
        <v>31030000</v>
      </c>
      <c r="D76" s="180">
        <f>4000+100206.03</f>
        <v>104206.03</v>
      </c>
      <c r="E76" s="180">
        <v>39500</v>
      </c>
      <c r="F76" s="181">
        <v>3.81</v>
      </c>
      <c r="G76" s="162">
        <f t="shared" si="35"/>
        <v>-39496.19</v>
      </c>
      <c r="H76" s="164">
        <f>F76/E76*100</f>
        <v>0.009645569620253164</v>
      </c>
      <c r="I76" s="167">
        <f>F76-D76</f>
        <v>-104202.22</v>
      </c>
      <c r="J76" s="167">
        <f>F76/D76*100</f>
        <v>0.0036562183589567707</v>
      </c>
      <c r="K76" s="167"/>
      <c r="L76" s="167"/>
      <c r="M76" s="167"/>
      <c r="N76" s="167">
        <v>4618.99</v>
      </c>
      <c r="O76" s="167">
        <f t="shared" si="36"/>
        <v>99587.04</v>
      </c>
      <c r="P76" s="209">
        <f t="shared" si="37"/>
        <v>22.56034977343532</v>
      </c>
      <c r="Q76" s="167">
        <v>1553.95</v>
      </c>
      <c r="R76" s="167">
        <f t="shared" si="33"/>
        <v>-1550.14</v>
      </c>
      <c r="S76" s="209">
        <f t="shared" si="34"/>
        <v>0.0024518163390070467</v>
      </c>
      <c r="T76" s="157">
        <f>E76-серпень!E76</f>
        <v>21500</v>
      </c>
      <c r="U76" s="160">
        <f>F76-серпень!F76</f>
        <v>0</v>
      </c>
      <c r="V76" s="167">
        <f t="shared" si="38"/>
        <v>-21500</v>
      </c>
      <c r="W76" s="167">
        <f>U76/T76*100</f>
        <v>0</v>
      </c>
      <c r="X76" s="38">
        <v>0</v>
      </c>
      <c r="Y76" s="38" t="e">
        <f>#N/A</f>
        <v>#N/A</v>
      </c>
      <c r="Z76" s="363">
        <f t="shared" si="18"/>
        <v>-22.557897957096312</v>
      </c>
    </row>
    <row r="77" spans="2:26" ht="18">
      <c r="B77" s="23" t="s">
        <v>30</v>
      </c>
      <c r="C77" s="73">
        <v>33010000</v>
      </c>
      <c r="D77" s="180">
        <f>8000+46000</f>
        <v>54000</v>
      </c>
      <c r="E77" s="180">
        <v>26430</v>
      </c>
      <c r="F77" s="181">
        <v>6228.46</v>
      </c>
      <c r="G77" s="162">
        <f t="shared" si="35"/>
        <v>-20201.54</v>
      </c>
      <c r="H77" s="164">
        <f>F77/E77*100</f>
        <v>23.56587211502081</v>
      </c>
      <c r="I77" s="167">
        <f aca="true" t="shared" si="39" ref="I77:I86">F77-D77</f>
        <v>-47771.54</v>
      </c>
      <c r="J77" s="167">
        <f>F77/D77*100</f>
        <v>11.534185185185185</v>
      </c>
      <c r="K77" s="167"/>
      <c r="L77" s="167"/>
      <c r="M77" s="167"/>
      <c r="N77" s="167">
        <v>10435.77</v>
      </c>
      <c r="O77" s="167">
        <f t="shared" si="36"/>
        <v>43564.229999999996</v>
      </c>
      <c r="P77" s="209">
        <f t="shared" si="37"/>
        <v>5.174510361956999</v>
      </c>
      <c r="Q77" s="167">
        <v>6903.45</v>
      </c>
      <c r="R77" s="167">
        <f t="shared" si="33"/>
        <v>-674.9899999999998</v>
      </c>
      <c r="S77" s="209">
        <f t="shared" si="34"/>
        <v>0.9022242501937437</v>
      </c>
      <c r="T77" s="157">
        <f>E77-серпень!E77</f>
        <v>3600</v>
      </c>
      <c r="U77" s="160">
        <f>F77-серпень!F77</f>
        <v>258.3100000000004</v>
      </c>
      <c r="V77" s="167">
        <f t="shared" si="38"/>
        <v>-3341.6899999999996</v>
      </c>
      <c r="W77" s="167">
        <f>U77/T77*100</f>
        <v>7.175277777777788</v>
      </c>
      <c r="X77" s="38">
        <v>200</v>
      </c>
      <c r="Y77" s="38" t="e">
        <f>#N/A</f>
        <v>#N/A</v>
      </c>
      <c r="Z77" s="363">
        <f t="shared" si="18"/>
        <v>-4.272286111763256</v>
      </c>
    </row>
    <row r="78" spans="2:26" ht="31.5">
      <c r="B78" s="23" t="s">
        <v>54</v>
      </c>
      <c r="C78" s="73">
        <v>24170000</v>
      </c>
      <c r="D78" s="180">
        <f>10000+69000</f>
        <v>79000</v>
      </c>
      <c r="E78" s="180">
        <v>27750</v>
      </c>
      <c r="F78" s="181">
        <v>11573.4</v>
      </c>
      <c r="G78" s="162">
        <f t="shared" si="35"/>
        <v>-16176.6</v>
      </c>
      <c r="H78" s="164">
        <f>F78/E78*100</f>
        <v>41.70594594594594</v>
      </c>
      <c r="I78" s="167">
        <f t="shared" si="39"/>
        <v>-67426.6</v>
      </c>
      <c r="J78" s="167">
        <f>F78/D78*100</f>
        <v>14.649873417721517</v>
      </c>
      <c r="K78" s="167"/>
      <c r="L78" s="167"/>
      <c r="M78" s="167"/>
      <c r="N78" s="167">
        <v>12593.19</v>
      </c>
      <c r="O78" s="167">
        <f t="shared" si="36"/>
        <v>66406.81</v>
      </c>
      <c r="P78" s="209">
        <f t="shared" si="37"/>
        <v>6.273231802267733</v>
      </c>
      <c r="Q78" s="167">
        <v>12116.42</v>
      </c>
      <c r="R78" s="167">
        <f t="shared" si="33"/>
        <v>-543.0200000000004</v>
      </c>
      <c r="S78" s="209">
        <f t="shared" si="34"/>
        <v>0.9551831316510982</v>
      </c>
      <c r="T78" s="157">
        <f>E78-серпень!E78</f>
        <v>3850</v>
      </c>
      <c r="U78" s="160">
        <f>F78-серпень!F78</f>
        <v>3539.4799999999996</v>
      </c>
      <c r="V78" s="167">
        <f t="shared" si="38"/>
        <v>-310.52000000000044</v>
      </c>
      <c r="W78" s="167">
        <f>U78/T78*100</f>
        <v>91.93454545454544</v>
      </c>
      <c r="X78" s="38">
        <v>1500</v>
      </c>
      <c r="Y78" s="38" t="e">
        <f>#N/A</f>
        <v>#N/A</v>
      </c>
      <c r="Z78" s="363">
        <f t="shared" si="18"/>
        <v>-5.318048670616635</v>
      </c>
    </row>
    <row r="79" spans="2:26" ht="18">
      <c r="B79" s="23" t="s">
        <v>101</v>
      </c>
      <c r="C79" s="73">
        <v>24110700</v>
      </c>
      <c r="D79" s="180">
        <v>12</v>
      </c>
      <c r="E79" s="180">
        <v>9</v>
      </c>
      <c r="F79" s="181">
        <v>10</v>
      </c>
      <c r="G79" s="162">
        <f t="shared" si="35"/>
        <v>1</v>
      </c>
      <c r="H79" s="164">
        <f>F79/E79*100</f>
        <v>111.11111111111111</v>
      </c>
      <c r="I79" s="167">
        <f t="shared" si="39"/>
        <v>-2</v>
      </c>
      <c r="J79" s="167">
        <f>F79/D79*100</f>
        <v>83.33333333333334</v>
      </c>
      <c r="K79" s="167"/>
      <c r="L79" s="167"/>
      <c r="M79" s="167"/>
      <c r="N79" s="167">
        <v>13</v>
      </c>
      <c r="O79" s="167">
        <f t="shared" si="36"/>
        <v>-1</v>
      </c>
      <c r="P79" s="209">
        <f t="shared" si="37"/>
        <v>0.9230769230769231</v>
      </c>
      <c r="Q79" s="167">
        <v>10</v>
      </c>
      <c r="R79" s="167">
        <f t="shared" si="33"/>
        <v>0</v>
      </c>
      <c r="S79" s="209">
        <f t="shared" si="34"/>
        <v>1</v>
      </c>
      <c r="T79" s="157">
        <f>E79-серпень!E79</f>
        <v>1</v>
      </c>
      <c r="U79" s="160">
        <f>F79-серпень!F79</f>
        <v>1</v>
      </c>
      <c r="V79" s="167">
        <f t="shared" si="38"/>
        <v>0</v>
      </c>
      <c r="W79" s="167">
        <f>U79/T79*100</f>
        <v>100</v>
      </c>
      <c r="X79" s="38">
        <v>1</v>
      </c>
      <c r="Y79" s="38" t="e">
        <f>#N/A</f>
        <v>#N/A</v>
      </c>
      <c r="Z79" s="363">
        <f t="shared" si="18"/>
        <v>0.07692307692307687</v>
      </c>
    </row>
    <row r="80" spans="2:26" ht="33">
      <c r="B80" s="28" t="s">
        <v>51</v>
      </c>
      <c r="C80" s="65"/>
      <c r="D80" s="183">
        <f>D76+D77+D78+D79</f>
        <v>237218.03</v>
      </c>
      <c r="E80" s="183">
        <f>E76+E77+E78+E79</f>
        <v>93689</v>
      </c>
      <c r="F80" s="184">
        <f>F76+F77+F78+F79</f>
        <v>17815.67</v>
      </c>
      <c r="G80" s="185">
        <f t="shared" si="35"/>
        <v>-75873.33</v>
      </c>
      <c r="H80" s="186">
        <f>F80/E80*100</f>
        <v>19.01575425076583</v>
      </c>
      <c r="I80" s="187">
        <f t="shared" si="39"/>
        <v>-219402.36</v>
      </c>
      <c r="J80" s="187">
        <f>F80/D80*100</f>
        <v>7.510251223315528</v>
      </c>
      <c r="K80" s="187"/>
      <c r="L80" s="187"/>
      <c r="M80" s="187"/>
      <c r="N80" s="187">
        <v>27660.95</v>
      </c>
      <c r="O80" s="187">
        <f t="shared" si="36"/>
        <v>209557.08</v>
      </c>
      <c r="P80" s="214">
        <f t="shared" si="37"/>
        <v>8.575917674555646</v>
      </c>
      <c r="Q80" s="187">
        <v>20583.82</v>
      </c>
      <c r="R80" s="167">
        <f t="shared" si="33"/>
        <v>-2768.1500000000015</v>
      </c>
      <c r="S80" s="209">
        <f t="shared" si="34"/>
        <v>0.8655181594087006</v>
      </c>
      <c r="T80" s="185">
        <f>T76+T77+T78+T79</f>
        <v>28951</v>
      </c>
      <c r="U80" s="189">
        <f>U76+U77+U78+U79</f>
        <v>3798.79</v>
      </c>
      <c r="V80" s="187">
        <f t="shared" si="38"/>
        <v>-25152.21</v>
      </c>
      <c r="W80" s="187">
        <f>U80/T80*100</f>
        <v>13.121446582156057</v>
      </c>
      <c r="X80" s="39">
        <f>SUM(X76:X79)</f>
        <v>1701</v>
      </c>
      <c r="Y80" s="39" t="e">
        <f>#N/A</f>
        <v>#N/A</v>
      </c>
      <c r="Z80" s="363">
        <f t="shared" si="18"/>
        <v>-7.710399515146945</v>
      </c>
    </row>
    <row r="81" spans="2:26" ht="46.5">
      <c r="B81" s="12" t="s">
        <v>40</v>
      </c>
      <c r="C81" s="75">
        <v>24062100</v>
      </c>
      <c r="D81" s="180">
        <v>40</v>
      </c>
      <c r="E81" s="180">
        <v>19</v>
      </c>
      <c r="F81" s="181">
        <v>38.14</v>
      </c>
      <c r="G81" s="162">
        <f t="shared" si="35"/>
        <v>19.14</v>
      </c>
      <c r="H81" s="164"/>
      <c r="I81" s="167">
        <f t="shared" si="39"/>
        <v>-1.8599999999999994</v>
      </c>
      <c r="J81" s="167"/>
      <c r="K81" s="167"/>
      <c r="L81" s="167"/>
      <c r="M81" s="167"/>
      <c r="N81" s="167">
        <v>69.99</v>
      </c>
      <c r="O81" s="167">
        <f t="shared" si="36"/>
        <v>-29.989999999999995</v>
      </c>
      <c r="P81" s="209">
        <f t="shared" si="37"/>
        <v>0.5715102157451065</v>
      </c>
      <c r="Q81" s="167">
        <v>35.78</v>
      </c>
      <c r="R81" s="167">
        <f t="shared" si="33"/>
        <v>2.3599999999999994</v>
      </c>
      <c r="S81" s="209">
        <f t="shared" si="34"/>
        <v>1.0659586361095583</v>
      </c>
      <c r="T81" s="157">
        <f>E81-серпень!E81</f>
        <v>15</v>
      </c>
      <c r="U81" s="160">
        <f>F81-серпень!F81</f>
        <v>0</v>
      </c>
      <c r="V81" s="167">
        <f t="shared" si="38"/>
        <v>-15</v>
      </c>
      <c r="W81" s="167"/>
      <c r="X81" s="38">
        <v>1</v>
      </c>
      <c r="Y81" s="38" t="e">
        <f>#N/A</f>
        <v>#N/A</v>
      </c>
      <c r="Z81" s="363">
        <f t="shared" si="18"/>
        <v>0.4944484203644518</v>
      </c>
    </row>
    <row r="82" spans="2:26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 t="shared" si="35"/>
        <v>0</v>
      </c>
      <c r="H82" s="164"/>
      <c r="I82" s="167">
        <f t="shared" si="39"/>
        <v>0</v>
      </c>
      <c r="J82" s="190"/>
      <c r="K82" s="190"/>
      <c r="L82" s="190"/>
      <c r="M82" s="190"/>
      <c r="N82" s="190"/>
      <c r="O82" s="167">
        <f t="shared" si="36"/>
        <v>0</v>
      </c>
      <c r="P82" s="209" t="e">
        <f t="shared" si="37"/>
        <v>#DIV/0!</v>
      </c>
      <c r="Q82" s="167">
        <v>0</v>
      </c>
      <c r="R82" s="167">
        <f t="shared" si="33"/>
        <v>0</v>
      </c>
      <c r="S82" s="209" t="e">
        <f t="shared" si="34"/>
        <v>#DIV/0!</v>
      </c>
      <c r="T82" s="157">
        <f>E82-серпень!E82</f>
        <v>0</v>
      </c>
      <c r="U82" s="160">
        <f>F82-серпень!F82</f>
        <v>0</v>
      </c>
      <c r="V82" s="167">
        <f t="shared" si="38"/>
        <v>0</v>
      </c>
      <c r="W82" s="190"/>
      <c r="X82" s="41"/>
      <c r="Y82" s="38" t="e">
        <f>#N/A</f>
        <v>#N/A</v>
      </c>
      <c r="Z82" s="363" t="e">
        <f t="shared" si="18"/>
        <v>#DIV/0!</v>
      </c>
    </row>
    <row r="83" spans="2:26" ht="18">
      <c r="B83" s="23" t="s">
        <v>46</v>
      </c>
      <c r="C83" s="73">
        <v>19010000</v>
      </c>
      <c r="D83" s="180">
        <v>8360</v>
      </c>
      <c r="E83" s="180">
        <v>6393.7</v>
      </c>
      <c r="F83" s="181">
        <v>6575.43</v>
      </c>
      <c r="G83" s="162">
        <f t="shared" si="35"/>
        <v>181.73000000000047</v>
      </c>
      <c r="H83" s="164">
        <f>F83/E83*100</f>
        <v>102.84232916777454</v>
      </c>
      <c r="I83" s="167">
        <f t="shared" si="39"/>
        <v>-1784.5699999999997</v>
      </c>
      <c r="J83" s="167">
        <f>F83/D83*100</f>
        <v>78.65346889952154</v>
      </c>
      <c r="K83" s="167"/>
      <c r="L83" s="167"/>
      <c r="M83" s="167"/>
      <c r="N83" s="167">
        <v>8352.68</v>
      </c>
      <c r="O83" s="167">
        <f t="shared" si="36"/>
        <v>7.319999999999709</v>
      </c>
      <c r="P83" s="209">
        <f t="shared" si="37"/>
        <v>1.0008763654300177</v>
      </c>
      <c r="Q83" s="167">
        <v>6825.67</v>
      </c>
      <c r="R83" s="167">
        <f t="shared" si="33"/>
        <v>-250.23999999999978</v>
      </c>
      <c r="S83" s="209">
        <f t="shared" si="34"/>
        <v>0.9633383975492517</v>
      </c>
      <c r="T83" s="157">
        <f>E83-серпень!E83</f>
        <v>0.4999999999990905</v>
      </c>
      <c r="U83" s="160">
        <f>F83-серпень!F83</f>
        <v>1.6700000000000728</v>
      </c>
      <c r="V83" s="167">
        <f t="shared" si="38"/>
        <v>1.1700000000009823</v>
      </c>
      <c r="W83" s="167">
        <f>U83/T83*100</f>
        <v>334.0000000006221</v>
      </c>
      <c r="X83" s="41">
        <v>2850</v>
      </c>
      <c r="Y83" s="288" t="e">
        <f>#N/A</f>
        <v>#N/A</v>
      </c>
      <c r="Z83" s="363">
        <f t="shared" si="18"/>
        <v>-0.03753796788076602</v>
      </c>
    </row>
    <row r="84" spans="2:26" ht="31.5">
      <c r="B84" s="23" t="s">
        <v>50</v>
      </c>
      <c r="C84" s="73">
        <v>19050000</v>
      </c>
      <c r="D84" s="180">
        <v>0</v>
      </c>
      <c r="E84" s="180"/>
      <c r="F84" s="181">
        <v>0.08</v>
      </c>
      <c r="G84" s="162">
        <f t="shared" si="35"/>
        <v>0.08</v>
      </c>
      <c r="H84" s="164"/>
      <c r="I84" s="167">
        <f t="shared" si="39"/>
        <v>0.08</v>
      </c>
      <c r="J84" s="167"/>
      <c r="K84" s="167"/>
      <c r="L84" s="167"/>
      <c r="M84" s="167"/>
      <c r="N84" s="167">
        <v>1.48</v>
      </c>
      <c r="O84" s="167">
        <f t="shared" si="36"/>
        <v>-1.48</v>
      </c>
      <c r="P84" s="209">
        <f t="shared" si="37"/>
        <v>0</v>
      </c>
      <c r="Q84" s="167">
        <v>1.22</v>
      </c>
      <c r="R84" s="167">
        <f t="shared" si="33"/>
        <v>-1.14</v>
      </c>
      <c r="S84" s="209">
        <f t="shared" si="34"/>
        <v>0.06557377049180328</v>
      </c>
      <c r="T84" s="157">
        <f>E84-серпень!E84</f>
        <v>0</v>
      </c>
      <c r="U84" s="160">
        <f>F84-серпень!F84</f>
        <v>0</v>
      </c>
      <c r="V84" s="167">
        <f t="shared" si="38"/>
        <v>0</v>
      </c>
      <c r="W84" s="190"/>
      <c r="X84" s="38">
        <v>0</v>
      </c>
      <c r="Y84" s="38" t="e">
        <f>#N/A</f>
        <v>#N/A</v>
      </c>
      <c r="Z84" s="363">
        <f t="shared" si="18"/>
        <v>0.06557377049180328</v>
      </c>
    </row>
    <row r="85" spans="2:26" ht="30.75">
      <c r="B85" s="28" t="s">
        <v>47</v>
      </c>
      <c r="C85" s="73"/>
      <c r="D85" s="183">
        <f>D81+D84+D82+D83</f>
        <v>8400</v>
      </c>
      <c r="E85" s="183">
        <f>E81+E84+E82+E83</f>
        <v>6412.7</v>
      </c>
      <c r="F85" s="184">
        <f>F81+F84+F82+F83</f>
        <v>6613.650000000001</v>
      </c>
      <c r="G85" s="185">
        <f t="shared" si="35"/>
        <v>200.95000000000073</v>
      </c>
      <c r="H85" s="186">
        <f>F85/E85*100</f>
        <v>103.1336254619739</v>
      </c>
      <c r="I85" s="187">
        <f t="shared" si="39"/>
        <v>-1786.3499999999995</v>
      </c>
      <c r="J85" s="187">
        <f>F85/D85*100</f>
        <v>78.73392857142858</v>
      </c>
      <c r="K85" s="187"/>
      <c r="L85" s="187"/>
      <c r="M85" s="187"/>
      <c r="N85" s="187">
        <v>8424.15</v>
      </c>
      <c r="O85" s="187">
        <f t="shared" si="36"/>
        <v>-24.149999999999636</v>
      </c>
      <c r="P85" s="214">
        <f t="shared" si="37"/>
        <v>0.9971332419294529</v>
      </c>
      <c r="Q85" s="187">
        <v>6862.67</v>
      </c>
      <c r="R85" s="167">
        <f t="shared" si="33"/>
        <v>-249.01999999999953</v>
      </c>
      <c r="S85" s="209">
        <f t="shared" si="34"/>
        <v>0.9637138314970705</v>
      </c>
      <c r="T85" s="185">
        <f>T81+T84+T82+T83</f>
        <v>15.49999999999909</v>
      </c>
      <c r="U85" s="189">
        <f>U81+U84+U82+U83</f>
        <v>1.6700000000000728</v>
      </c>
      <c r="V85" s="187">
        <f t="shared" si="38"/>
        <v>-13.829999999999018</v>
      </c>
      <c r="W85" s="187">
        <f>U85/T85*100</f>
        <v>10.7741935483882</v>
      </c>
      <c r="X85" s="39">
        <f>SUM(X81:X84)</f>
        <v>2851</v>
      </c>
      <c r="Y85" s="39" t="e">
        <f>#N/A</f>
        <v>#N/A</v>
      </c>
      <c r="Z85" s="363">
        <f t="shared" si="18"/>
        <v>-0.03341941043238239</v>
      </c>
    </row>
    <row r="86" spans="2:26" ht="30.75">
      <c r="B86" s="12" t="s">
        <v>41</v>
      </c>
      <c r="C86" s="43">
        <v>24110900</v>
      </c>
      <c r="D86" s="180">
        <v>38</v>
      </c>
      <c r="E86" s="180">
        <v>33.7</v>
      </c>
      <c r="F86" s="181">
        <v>24.96</v>
      </c>
      <c r="G86" s="162">
        <f t="shared" si="35"/>
        <v>-8.740000000000002</v>
      </c>
      <c r="H86" s="164">
        <f>F86/E86*100</f>
        <v>74.06528189910979</v>
      </c>
      <c r="I86" s="167">
        <f t="shared" si="39"/>
        <v>-13.04</v>
      </c>
      <c r="J86" s="167">
        <f>F86/D86*100</f>
        <v>65.6842105263158</v>
      </c>
      <c r="K86" s="167"/>
      <c r="L86" s="167"/>
      <c r="M86" s="167"/>
      <c r="N86" s="167">
        <v>35.33</v>
      </c>
      <c r="O86" s="167">
        <f t="shared" si="36"/>
        <v>2.6700000000000017</v>
      </c>
      <c r="P86" s="209">
        <f t="shared" si="37"/>
        <v>1.075573167279932</v>
      </c>
      <c r="Q86" s="187">
        <v>26.87</v>
      </c>
      <c r="R86" s="167">
        <f t="shared" si="33"/>
        <v>-1.9100000000000001</v>
      </c>
      <c r="S86" s="209">
        <f t="shared" si="34"/>
        <v>0.9289170078154075</v>
      </c>
      <c r="T86" s="157">
        <f>E86-серпень!E86</f>
        <v>7.300000000000001</v>
      </c>
      <c r="U86" s="160">
        <f>F86-серпень!F86</f>
        <v>7.310000000000002</v>
      </c>
      <c r="V86" s="167">
        <f t="shared" si="38"/>
        <v>0.010000000000001563</v>
      </c>
      <c r="W86" s="167">
        <f>U86/T86*100</f>
        <v>100.13698630136989</v>
      </c>
      <c r="X86" s="38">
        <v>1.2</v>
      </c>
      <c r="Y86" s="38" t="e">
        <f>#N/A</f>
        <v>#N/A</v>
      </c>
      <c r="Z86" s="363">
        <f t="shared" si="18"/>
        <v>-0.14665615946452448</v>
      </c>
    </row>
    <row r="87" spans="2:26" ht="18" hidden="1">
      <c r="B87" s="122"/>
      <c r="C87" s="43">
        <v>21110000</v>
      </c>
      <c r="D87" s="180">
        <v>0</v>
      </c>
      <c r="E87" s="180">
        <v>0</v>
      </c>
      <c r="F87" s="181"/>
      <c r="G87" s="162" t="e">
        <f>#N/A</f>
        <v>#N/A</v>
      </c>
      <c r="H87" s="164"/>
      <c r="I87" s="167" t="e">
        <f>#N/A</f>
        <v>#N/A</v>
      </c>
      <c r="J87" s="167"/>
      <c r="K87" s="167"/>
      <c r="L87" s="167"/>
      <c r="M87" s="167"/>
      <c r="N87" s="167"/>
      <c r="O87" s="167"/>
      <c r="P87" s="209"/>
      <c r="Q87" s="167">
        <v>18.76</v>
      </c>
      <c r="R87" s="187" t="e">
        <f>#N/A</f>
        <v>#N/A</v>
      </c>
      <c r="S87" s="209">
        <f t="shared" si="34"/>
        <v>0</v>
      </c>
      <c r="T87" s="164">
        <f>E87-квітень!E87</f>
        <v>0</v>
      </c>
      <c r="U87" s="168">
        <f>F87-квітень!F87</f>
        <v>0</v>
      </c>
      <c r="V87" s="167" t="e">
        <f>#N/A</f>
        <v>#N/A</v>
      </c>
      <c r="W87" s="167"/>
      <c r="X87" s="38">
        <v>0</v>
      </c>
      <c r="Y87" s="38" t="e">
        <f>#N/A</f>
        <v>#N/A</v>
      </c>
      <c r="Z87" s="363">
        <f t="shared" si="18"/>
        <v>0</v>
      </c>
    </row>
    <row r="88" spans="2:26" ht="23.25" customHeight="1">
      <c r="B88" s="306" t="s">
        <v>31</v>
      </c>
      <c r="C88" s="307"/>
      <c r="D88" s="308">
        <f>D74+D75+D80+D85+D86</f>
        <v>245656.03</v>
      </c>
      <c r="E88" s="308">
        <f>E74+E75+E80+E85+E86</f>
        <v>100135.4</v>
      </c>
      <c r="F88" s="308">
        <f>F74+F75+F80+F85+F86</f>
        <v>24487.219999999998</v>
      </c>
      <c r="G88" s="309">
        <f>F88-E88</f>
        <v>-75648.18</v>
      </c>
      <c r="H88" s="310">
        <f>F88/E88*100</f>
        <v>24.454109136229544</v>
      </c>
      <c r="I88" s="301">
        <f>F88-D88</f>
        <v>-221168.81</v>
      </c>
      <c r="J88" s="301">
        <f>F88/D88*100</f>
        <v>9.968092376971164</v>
      </c>
      <c r="K88" s="301"/>
      <c r="L88" s="301"/>
      <c r="M88" s="301"/>
      <c r="N88" s="301">
        <v>36110.25</v>
      </c>
      <c r="O88" s="301">
        <f>D88-N88</f>
        <v>209545.78</v>
      </c>
      <c r="P88" s="302">
        <f>D88/N88</f>
        <v>6.802944593294148</v>
      </c>
      <c r="Q88" s="308">
        <v>27469.53</v>
      </c>
      <c r="R88" s="301">
        <f>F88-Q88</f>
        <v>-2982.3100000000013</v>
      </c>
      <c r="S88" s="302">
        <f t="shared" si="34"/>
        <v>0.8914320703703339</v>
      </c>
      <c r="T88" s="308">
        <f>T74+T75+T80+T85+T86</f>
        <v>28973.8</v>
      </c>
      <c r="U88" s="308">
        <f>U74+U75+U80+U85+U86</f>
        <v>3807.77</v>
      </c>
      <c r="V88" s="301">
        <f>U88-T88</f>
        <v>-25166.03</v>
      </c>
      <c r="W88" s="301">
        <f>U88/T88*100</f>
        <v>13.142114600086977</v>
      </c>
      <c r="X88" s="27">
        <f>X80+X85+X86+X87</f>
        <v>4553.2</v>
      </c>
      <c r="Y88" s="27" t="e">
        <f>Y80+Y85+Y86+Y87</f>
        <v>#N/A</v>
      </c>
      <c r="Z88" s="363">
        <f aca="true" t="shared" si="40" ref="Z88:Z149">S88-P88</f>
        <v>-5.911512522923815</v>
      </c>
    </row>
    <row r="89" spans="2:26" ht="17.25">
      <c r="B89" s="311" t="s">
        <v>182</v>
      </c>
      <c r="C89" s="307"/>
      <c r="D89" s="308">
        <f>D67+D88</f>
        <v>1603147.1300000001</v>
      </c>
      <c r="E89" s="308">
        <f>E67+E88</f>
        <v>1092326.6</v>
      </c>
      <c r="F89" s="308">
        <f>F67+F88</f>
        <v>1014215.32</v>
      </c>
      <c r="G89" s="309">
        <f>F89-E89</f>
        <v>-78111.28000000014</v>
      </c>
      <c r="H89" s="310">
        <f>F89/E89*100</f>
        <v>92.84909110516945</v>
      </c>
      <c r="I89" s="301">
        <f>F89-D89</f>
        <v>-588931.8100000002</v>
      </c>
      <c r="J89" s="301">
        <f>F89/D89*100</f>
        <v>63.26401994057774</v>
      </c>
      <c r="K89" s="301"/>
      <c r="L89" s="301"/>
      <c r="M89" s="301"/>
      <c r="N89" s="301">
        <v>1089679.76</v>
      </c>
      <c r="O89" s="301">
        <f>D89-N89</f>
        <v>513467.3700000001</v>
      </c>
      <c r="P89" s="302">
        <f>D89/N89</f>
        <v>1.4712094221149892</v>
      </c>
      <c r="Q89" s="301">
        <f>Q67+Q88</f>
        <v>784969.6</v>
      </c>
      <c r="R89" s="301">
        <f>R67+R88</f>
        <v>229245.72000000003</v>
      </c>
      <c r="S89" s="302">
        <f t="shared" si="34"/>
        <v>1.292044074063505</v>
      </c>
      <c r="T89" s="309">
        <f>T67+T88</f>
        <v>134766.19999999995</v>
      </c>
      <c r="U89" s="309">
        <f>U67+U88</f>
        <v>108021.71</v>
      </c>
      <c r="V89" s="301">
        <f>U89-T89</f>
        <v>-26744.489999999947</v>
      </c>
      <c r="W89" s="301">
        <f>U89/T89*100</f>
        <v>80.154897889827</v>
      </c>
      <c r="X89" s="27">
        <f>X67+X88</f>
        <v>112668.9</v>
      </c>
      <c r="Y89" s="27" t="e">
        <f>Y67+Y88</f>
        <v>#N/A</v>
      </c>
      <c r="Z89" s="363">
        <f t="shared" si="40"/>
        <v>-0.1791653480514841</v>
      </c>
    </row>
    <row r="90" spans="2:26" ht="15">
      <c r="B90" s="20" t="s">
        <v>34</v>
      </c>
      <c r="U90" s="25"/>
      <c r="Z90" s="363">
        <f t="shared" si="40"/>
        <v>0</v>
      </c>
    </row>
    <row r="91" spans="2:26" ht="15">
      <c r="B91" s="4" t="s">
        <v>36</v>
      </c>
      <c r="C91" s="76">
        <v>0</v>
      </c>
      <c r="D91" s="4" t="s">
        <v>35</v>
      </c>
      <c r="U91" s="78"/>
      <c r="Y91" s="29"/>
      <c r="Z91" s="363">
        <f t="shared" si="40"/>
        <v>0</v>
      </c>
    </row>
    <row r="92" spans="2:26" ht="30.75">
      <c r="B92" s="52" t="s">
        <v>53</v>
      </c>
      <c r="C92" s="29" t="e">
        <f>IF(V67&lt;0,ABS(V67/C91),0)</f>
        <v>#DIV/0!</v>
      </c>
      <c r="D92" s="4" t="s">
        <v>24</v>
      </c>
      <c r="G92" s="424"/>
      <c r="H92" s="424"/>
      <c r="I92" s="424"/>
      <c r="J92" s="424"/>
      <c r="K92" s="84"/>
      <c r="L92" s="84"/>
      <c r="M92" s="84"/>
      <c r="N92" s="84"/>
      <c r="O92" s="84"/>
      <c r="P92" s="342"/>
      <c r="Q92" s="84"/>
      <c r="R92" s="84"/>
      <c r="S92" s="84"/>
      <c r="W92" s="25"/>
      <c r="X92" s="25"/>
      <c r="Y92" s="25"/>
      <c r="Z92" s="363">
        <f t="shared" si="40"/>
        <v>0</v>
      </c>
    </row>
    <row r="93" spans="2:26" ht="34.5" customHeight="1">
      <c r="B93" s="53" t="s">
        <v>55</v>
      </c>
      <c r="C93" s="81">
        <v>43007</v>
      </c>
      <c r="D93" s="29">
        <v>16930.7</v>
      </c>
      <c r="G93" s="4" t="s">
        <v>58</v>
      </c>
      <c r="U93" s="430"/>
      <c r="V93" s="430"/>
      <c r="Z93" s="363">
        <f t="shared" si="40"/>
        <v>0</v>
      </c>
    </row>
    <row r="94" spans="3:26" ht="15">
      <c r="C94" s="81">
        <v>43006</v>
      </c>
      <c r="D94" s="29">
        <v>10724.7</v>
      </c>
      <c r="G94" s="427"/>
      <c r="H94" s="427"/>
      <c r="I94" s="118"/>
      <c r="J94" s="295"/>
      <c r="K94" s="295"/>
      <c r="L94" s="295"/>
      <c r="M94" s="295"/>
      <c r="N94" s="295"/>
      <c r="O94" s="295"/>
      <c r="P94" s="343"/>
      <c r="Q94" s="295"/>
      <c r="R94" s="295"/>
      <c r="S94" s="295"/>
      <c r="T94" s="295"/>
      <c r="U94" s="430"/>
      <c r="V94" s="430"/>
      <c r="Z94" s="363">
        <f t="shared" si="40"/>
        <v>0</v>
      </c>
    </row>
    <row r="95" spans="3:26" ht="15.75" customHeight="1">
      <c r="C95" s="81">
        <v>43005</v>
      </c>
      <c r="D95" s="29">
        <v>4636.5</v>
      </c>
      <c r="F95" s="68"/>
      <c r="G95" s="427"/>
      <c r="H95" s="427"/>
      <c r="I95" s="118"/>
      <c r="J95" s="296"/>
      <c r="K95" s="296"/>
      <c r="L95" s="296"/>
      <c r="M95" s="296"/>
      <c r="N95" s="296"/>
      <c r="O95" s="296"/>
      <c r="P95" s="344"/>
      <c r="Q95" s="296"/>
      <c r="R95" s="296"/>
      <c r="S95" s="296"/>
      <c r="T95" s="296"/>
      <c r="U95" s="430"/>
      <c r="V95" s="430"/>
      <c r="Z95" s="363">
        <f t="shared" si="40"/>
        <v>0</v>
      </c>
    </row>
    <row r="96" spans="3:26" ht="15.75" customHeight="1">
      <c r="C96" s="81"/>
      <c r="F96" s="68"/>
      <c r="G96" s="421"/>
      <c r="H96" s="421"/>
      <c r="I96" s="124"/>
      <c r="J96" s="295"/>
      <c r="K96" s="295"/>
      <c r="L96" s="295"/>
      <c r="M96" s="295"/>
      <c r="N96" s="295"/>
      <c r="O96" s="295"/>
      <c r="P96" s="343"/>
      <c r="Q96" s="295"/>
      <c r="R96" s="295"/>
      <c r="S96" s="295"/>
      <c r="T96" s="295"/>
      <c r="Z96" s="363">
        <f t="shared" si="40"/>
        <v>0</v>
      </c>
    </row>
    <row r="97" spans="2:26" ht="18" customHeight="1">
      <c r="B97" s="425" t="s">
        <v>56</v>
      </c>
      <c r="C97" s="426"/>
      <c r="D97" s="133">
        <v>980.44</v>
      </c>
      <c r="E97" s="69"/>
      <c r="F97" s="125" t="s">
        <v>107</v>
      </c>
      <c r="G97" s="427"/>
      <c r="H97" s="427"/>
      <c r="I97" s="126"/>
      <c r="J97" s="295"/>
      <c r="K97" s="295"/>
      <c r="L97" s="295"/>
      <c r="M97" s="295"/>
      <c r="N97" s="295"/>
      <c r="O97" s="295"/>
      <c r="P97" s="343"/>
      <c r="Q97" s="295"/>
      <c r="R97" s="295"/>
      <c r="S97" s="295"/>
      <c r="T97" s="295"/>
      <c r="Z97" s="363">
        <f t="shared" si="40"/>
        <v>0</v>
      </c>
    </row>
    <row r="98" spans="6:26" ht="9.75" customHeight="1">
      <c r="F98" s="68"/>
      <c r="G98" s="427"/>
      <c r="H98" s="427"/>
      <c r="I98" s="68"/>
      <c r="J98" s="69"/>
      <c r="K98" s="69"/>
      <c r="L98" s="69"/>
      <c r="M98" s="69"/>
      <c r="N98" s="69"/>
      <c r="O98" s="69"/>
      <c r="P98" s="345"/>
      <c r="Q98" s="69"/>
      <c r="R98" s="69"/>
      <c r="S98" s="69"/>
      <c r="Z98" s="363">
        <f t="shared" si="40"/>
        <v>0</v>
      </c>
    </row>
    <row r="99" spans="2:26" ht="22.5" customHeight="1" hidden="1">
      <c r="B99" s="428" t="s">
        <v>59</v>
      </c>
      <c r="C99" s="429"/>
      <c r="D99" s="80"/>
      <c r="E99" s="51" t="s">
        <v>24</v>
      </c>
      <c r="F99" s="68"/>
      <c r="G99" s="427"/>
      <c r="H99" s="427"/>
      <c r="I99" s="68"/>
      <c r="J99" s="69"/>
      <c r="K99" s="69"/>
      <c r="L99" s="69"/>
      <c r="M99" s="69"/>
      <c r="N99" s="69"/>
      <c r="O99" s="69"/>
      <c r="P99" s="345"/>
      <c r="Q99" s="69"/>
      <c r="R99" s="69"/>
      <c r="S99" s="69"/>
      <c r="Z99" s="363">
        <f t="shared" si="40"/>
        <v>0</v>
      </c>
    </row>
    <row r="100" spans="2:26" ht="15" hidden="1">
      <c r="B100" s="285" t="s">
        <v>195</v>
      </c>
      <c r="D100" s="68">
        <f>D48+D51+D52</f>
        <v>1060</v>
      </c>
      <c r="E100" s="68">
        <f>E48+E51+E52</f>
        <v>892</v>
      </c>
      <c r="F100" s="203">
        <f>F48+F51+F52</f>
        <v>1374.31</v>
      </c>
      <c r="G100" s="68">
        <f>G48+G51+G52</f>
        <v>482.31000000000006</v>
      </c>
      <c r="H100" s="69"/>
      <c r="I100" s="69"/>
      <c r="T100" s="29">
        <f>T48+T51+T52</f>
        <v>86</v>
      </c>
      <c r="U100" s="202">
        <f>U48+U51+U52</f>
        <v>153.52</v>
      </c>
      <c r="V100" s="29">
        <f>V48+V51+V52</f>
        <v>67.52000000000001</v>
      </c>
      <c r="Z100" s="363">
        <f t="shared" si="40"/>
        <v>0</v>
      </c>
    </row>
    <row r="101" spans="4:26" ht="15" hidden="1">
      <c r="D101" s="78"/>
      <c r="I101" s="29"/>
      <c r="U101" s="420"/>
      <c r="V101" s="420"/>
      <c r="Z101" s="363">
        <f t="shared" si="40"/>
        <v>0</v>
      </c>
    </row>
    <row r="102" spans="2:26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947125.4</v>
      </c>
      <c r="F102" s="229">
        <f>F9+F15+F18+F19+F23+F42+F45+F65+F59</f>
        <v>939925.79</v>
      </c>
      <c r="G102" s="29">
        <f>F102-E102</f>
        <v>-7199.609999999986</v>
      </c>
      <c r="H102" s="230">
        <f>F102/E102</f>
        <v>0.9923984617031705</v>
      </c>
      <c r="I102" s="29">
        <f>F102-D102</f>
        <v>-359122.81000000006</v>
      </c>
      <c r="J102" s="230">
        <f>F102/D102</f>
        <v>0.7235493652816376</v>
      </c>
      <c r="K102" s="230"/>
      <c r="L102" s="230"/>
      <c r="M102" s="230"/>
      <c r="N102" s="230"/>
      <c r="O102" s="230"/>
      <c r="T102" s="29">
        <f>T9+T15+T17+T18+T19+T23+T42+T45+T65+T59</f>
        <v>100821.59999999996</v>
      </c>
      <c r="U102" s="229">
        <f>U9+U15+U17+U18+U19+U23+U42+U45+U65+U59</f>
        <v>98248.96</v>
      </c>
      <c r="V102" s="29">
        <f>U102-T102</f>
        <v>-2572.6399999999558</v>
      </c>
      <c r="W102" s="230">
        <f>U102/T102</f>
        <v>0.9744832456537096</v>
      </c>
      <c r="Z102" s="363">
        <f t="shared" si="40"/>
        <v>0</v>
      </c>
    </row>
    <row r="103" spans="2:26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45065.8</v>
      </c>
      <c r="F103" s="229">
        <f>F43+F44+F46+F48+F50+F51+F52+F53+F54+F60+F64+F47+F66</f>
        <v>49778.44</v>
      </c>
      <c r="G103" s="29">
        <f>G43+G44+G46+G48+G50+G51+G52+G53+G54+G60+G64+G47</f>
        <v>4717.809999999999</v>
      </c>
      <c r="H103" s="230">
        <f>F103/E103</f>
        <v>1.1045724252093605</v>
      </c>
      <c r="I103" s="29">
        <f>I43+I44+I46+I48+I50+I51+I52+I53+I54+I60+I64+I47</f>
        <v>-8658.890000000003</v>
      </c>
      <c r="J103" s="230">
        <f>F103/D103</f>
        <v>0.8517506951276896</v>
      </c>
      <c r="K103" s="230"/>
      <c r="L103" s="230"/>
      <c r="M103" s="230"/>
      <c r="N103" s="230"/>
      <c r="O103" s="230"/>
      <c r="Q103" s="29">
        <f>Q43+Q44+Q46+Q48+Q50+Q51+Q52+Q53+Q54+Q60+Q64+Q47</f>
        <v>49023.450000000004</v>
      </c>
      <c r="R103" s="29">
        <f>R43+R44+R46+R48+R50+R51+R52+R53+R54+R60+R64+R47</f>
        <v>760.1599999999983</v>
      </c>
      <c r="S103" s="29">
        <f>S43+S44+S46+S48+S50+S51+S52+S53+S54+S60+S64+S47</f>
        <v>20.383029415893624</v>
      </c>
      <c r="T103" s="29">
        <f>T43+T44+T46+T48+T50+T51+T52+T53+T54+T60+T64+T47+T66</f>
        <v>4970.8</v>
      </c>
      <c r="U103" s="229">
        <f>U43+U44+U46+U48+U50+U51+U52+U53+U54+U60+U64+U47+U66</f>
        <v>5964.98</v>
      </c>
      <c r="V103" s="29">
        <f>V43+V44+V46+V48+V50+V51+V52+V53+V54+V60+V64+V47</f>
        <v>994.1799999999995</v>
      </c>
      <c r="W103" s="230">
        <f>U103/T103</f>
        <v>1.2000040234972236</v>
      </c>
      <c r="Z103" s="363">
        <f t="shared" si="40"/>
        <v>20.383029415893624</v>
      </c>
    </row>
    <row r="104" spans="2:26" ht="15" hidden="1">
      <c r="B104" s="4" t="s">
        <v>121</v>
      </c>
      <c r="D104" s="29">
        <f>SUM(D102:D103)</f>
        <v>1357491.1</v>
      </c>
      <c r="E104" s="29" t="e">
        <f>#N/A</f>
        <v>#N/A</v>
      </c>
      <c r="F104" s="229" t="e">
        <f>#N/A</f>
        <v>#N/A</v>
      </c>
      <c r="G104" s="29" t="e">
        <f>#N/A</f>
        <v>#N/A</v>
      </c>
      <c r="H104" s="230" t="e">
        <f>F104/E104</f>
        <v>#N/A</v>
      </c>
      <c r="I104" s="29" t="e">
        <f>#N/A</f>
        <v>#N/A</v>
      </c>
      <c r="J104" s="230" t="e">
        <f>F104/D104</f>
        <v>#N/A</v>
      </c>
      <c r="K104" s="230"/>
      <c r="L104" s="230"/>
      <c r="M104" s="230"/>
      <c r="N104" s="230"/>
      <c r="O104" s="230"/>
      <c r="Q104" s="29" t="e">
        <f>#N/A</f>
        <v>#N/A</v>
      </c>
      <c r="R104" s="29" t="e">
        <f>#N/A</f>
        <v>#N/A</v>
      </c>
      <c r="S104" s="29" t="e">
        <f>#N/A</f>
        <v>#N/A</v>
      </c>
      <c r="T104" s="29" t="e">
        <f>#N/A</f>
        <v>#N/A</v>
      </c>
      <c r="U104" s="229" t="e">
        <f>#N/A</f>
        <v>#N/A</v>
      </c>
      <c r="V104" s="29" t="e">
        <f>#N/A</f>
        <v>#N/A</v>
      </c>
      <c r="W104" s="230" t="e">
        <f>U104/T104</f>
        <v>#N/A</v>
      </c>
      <c r="Z104" s="363" t="e">
        <f t="shared" si="40"/>
        <v>#N/A</v>
      </c>
    </row>
    <row r="105" spans="4:26" ht="15" hidden="1">
      <c r="D105" s="29">
        <f>D67-D104</f>
        <v>0</v>
      </c>
      <c r="E105" s="29" t="e">
        <f>#N/A</f>
        <v>#N/A</v>
      </c>
      <c r="F105" s="29" t="e">
        <f>#N/A</f>
        <v>#N/A</v>
      </c>
      <c r="G105" s="29" t="e">
        <f>#N/A</f>
        <v>#N/A</v>
      </c>
      <c r="H105" s="230"/>
      <c r="I105" s="29" t="e">
        <f>#N/A</f>
        <v>#N/A</v>
      </c>
      <c r="J105" s="230"/>
      <c r="K105" s="230"/>
      <c r="L105" s="230"/>
      <c r="M105" s="230"/>
      <c r="N105" s="230"/>
      <c r="O105" s="230"/>
      <c r="Q105" s="29" t="e">
        <f>Q67-Q104</f>
        <v>#N/A</v>
      </c>
      <c r="R105" s="29" t="e">
        <f>#N/A</f>
        <v>#N/A</v>
      </c>
      <c r="S105" s="29" t="e">
        <f>#N/A</f>
        <v>#N/A</v>
      </c>
      <c r="T105" s="29" t="e">
        <f>#N/A</f>
        <v>#N/A</v>
      </c>
      <c r="U105" s="29" t="e">
        <f>#N/A</f>
        <v>#N/A</v>
      </c>
      <c r="V105" s="29" t="e">
        <f>#N/A</f>
        <v>#N/A</v>
      </c>
      <c r="W105" s="29"/>
      <c r="X105" s="29" t="e">
        <f>#N/A</f>
        <v>#N/A</v>
      </c>
      <c r="Y105" s="29"/>
      <c r="Z105" s="363" t="e">
        <f t="shared" si="40"/>
        <v>#N/A</v>
      </c>
    </row>
    <row r="106" spans="5:26" ht="15" hidden="1">
      <c r="E106" s="4" t="s">
        <v>58</v>
      </c>
      <c r="Z106" s="363">
        <f t="shared" si="40"/>
        <v>0</v>
      </c>
    </row>
    <row r="107" spans="2:26" ht="15" hidden="1">
      <c r="B107" s="245" t="s">
        <v>165</v>
      </c>
      <c r="E107" s="29">
        <f>E67-E9-E20-E29-E35</f>
        <v>102455.50000000006</v>
      </c>
      <c r="Z107" s="363">
        <f t="shared" si="40"/>
        <v>0</v>
      </c>
    </row>
    <row r="108" spans="2:26" ht="15" hidden="1">
      <c r="B108" s="245" t="s">
        <v>166</v>
      </c>
      <c r="E108" s="29">
        <f>E88-E83-E76-E77</f>
        <v>27811.699999999997</v>
      </c>
      <c r="Z108" s="363">
        <f t="shared" si="40"/>
        <v>0</v>
      </c>
    </row>
    <row r="109" ht="15" hidden="1">
      <c r="Z109" s="363">
        <f t="shared" si="40"/>
        <v>0</v>
      </c>
    </row>
    <row r="110" spans="2:26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167"/>
      <c r="N110" s="167"/>
      <c r="O110" s="167"/>
      <c r="P110" s="209"/>
      <c r="Q110" s="167"/>
      <c r="R110" s="167"/>
      <c r="S110" s="268"/>
      <c r="T110" s="266"/>
      <c r="U110" s="266"/>
      <c r="V110" s="267"/>
      <c r="W110" s="267"/>
      <c r="X110" s="270"/>
      <c r="Y110" s="270"/>
      <c r="Z110" s="363">
        <f t="shared" si="40"/>
        <v>0</v>
      </c>
    </row>
    <row r="111" spans="2:26" ht="23.25" customHeight="1" hidden="1">
      <c r="B111" s="14" t="s">
        <v>31</v>
      </c>
      <c r="C111" s="66"/>
      <c r="D111" s="191">
        <f>D88+D110</f>
        <v>318064.25</v>
      </c>
      <c r="E111" s="191">
        <f>E88+E110</f>
        <v>118237.45999999999</v>
      </c>
      <c r="F111" s="191">
        <f>F88+F110</f>
        <v>44741.53999999999</v>
      </c>
      <c r="G111" s="192">
        <f>F111-E111</f>
        <v>-73495.92</v>
      </c>
      <c r="H111" s="193">
        <f>F111/E111*100</f>
        <v>37.84041030651368</v>
      </c>
      <c r="I111" s="194">
        <f>F111-D111</f>
        <v>-273322.71</v>
      </c>
      <c r="J111" s="194">
        <f>F111/D111*100</f>
        <v>14.066824548813642</v>
      </c>
      <c r="K111" s="194"/>
      <c r="L111" s="194"/>
      <c r="M111" s="194"/>
      <c r="N111" s="194"/>
      <c r="O111" s="194"/>
      <c r="P111" s="221"/>
      <c r="Q111" s="194">
        <v>3039.87</v>
      </c>
      <c r="R111" s="194">
        <f>F111-Q111</f>
        <v>41701.66999999999</v>
      </c>
      <c r="S111" s="269">
        <f>F111/Q111</f>
        <v>14.718241240579365</v>
      </c>
      <c r="T111" s="272"/>
      <c r="U111" s="272"/>
      <c r="V111" s="273"/>
      <c r="W111" s="273"/>
      <c r="X111" s="271">
        <f>U111-8104.96</f>
        <v>-8104.96</v>
      </c>
      <c r="Y111" s="271"/>
      <c r="Z111" s="363">
        <f t="shared" si="40"/>
        <v>14.718241240579365</v>
      </c>
    </row>
    <row r="112" spans="2:26" ht="17.25" hidden="1">
      <c r="B112" s="21" t="s">
        <v>181</v>
      </c>
      <c r="C112" s="66"/>
      <c r="D112" s="191">
        <f>D111+D67</f>
        <v>1675555.35</v>
      </c>
      <c r="E112" s="191">
        <f>E111+E67</f>
        <v>1110428.6600000001</v>
      </c>
      <c r="F112" s="191">
        <f>F111+F67</f>
        <v>1034469.64</v>
      </c>
      <c r="G112" s="192">
        <f>F112-E112</f>
        <v>-75959.02000000014</v>
      </c>
      <c r="H112" s="193">
        <f>F112/E112*100</f>
        <v>93.1594867156977</v>
      </c>
      <c r="I112" s="194">
        <f>F112-D112</f>
        <v>-641085.7100000001</v>
      </c>
      <c r="J112" s="194">
        <f>F112/D112*100</f>
        <v>61.73891181810257</v>
      </c>
      <c r="K112" s="194"/>
      <c r="L112" s="194"/>
      <c r="M112" s="194"/>
      <c r="N112" s="194"/>
      <c r="O112" s="194"/>
      <c r="P112" s="221"/>
      <c r="Q112" s="194">
        <f>Q89+Q111</f>
        <v>788009.47</v>
      </c>
      <c r="R112" s="194">
        <f>F112-Q112</f>
        <v>246460.17000000004</v>
      </c>
      <c r="S112" s="269">
        <f>F112/Q112</f>
        <v>1.3127629544858135</v>
      </c>
      <c r="T112" s="274"/>
      <c r="U112" s="274"/>
      <c r="V112" s="273"/>
      <c r="W112" s="273"/>
      <c r="X112" s="271">
        <f>U112-42872.96</f>
        <v>-42872.96</v>
      </c>
      <c r="Y112" s="271"/>
      <c r="Z112" s="363">
        <f t="shared" si="40"/>
        <v>1.3127629544858135</v>
      </c>
    </row>
    <row r="113" spans="2:26" ht="15" hidden="1">
      <c r="B113" s="241" t="s">
        <v>183</v>
      </c>
      <c r="C113" s="239">
        <v>40000000</v>
      </c>
      <c r="D113" s="244" t="e">
        <f>#N/A</f>
        <v>#N/A</v>
      </c>
      <c r="E113" s="244" t="e">
        <f>#N/A</f>
        <v>#N/A</v>
      </c>
      <c r="F113" s="244" t="e">
        <f>#N/A</f>
        <v>#N/A</v>
      </c>
      <c r="G113" s="244" t="e">
        <f>#N/A</f>
        <v>#N/A</v>
      </c>
      <c r="H113" s="244" t="e">
        <f>F113/E113*100</f>
        <v>#N/A</v>
      </c>
      <c r="I113" s="36" t="e">
        <f>#N/A</f>
        <v>#N/A</v>
      </c>
      <c r="J113" s="36" t="e">
        <f>F113/D113*100</f>
        <v>#N/A</v>
      </c>
      <c r="K113" s="313"/>
      <c r="L113" s="313"/>
      <c r="M113" s="313"/>
      <c r="N113" s="313"/>
      <c r="O113" s="313"/>
      <c r="P113" s="346"/>
      <c r="W113" s="89"/>
      <c r="Z113" s="363">
        <f t="shared" si="40"/>
        <v>0</v>
      </c>
    </row>
    <row r="114" spans="2:26" ht="15" customHeight="1" hidden="1">
      <c r="B114" s="240" t="s">
        <v>154</v>
      </c>
      <c r="C114" s="239">
        <v>41000000</v>
      </c>
      <c r="D114" s="244" t="e">
        <f>#N/A</f>
        <v>#N/A</v>
      </c>
      <c r="E114" s="244" t="e">
        <f>#N/A</f>
        <v>#N/A</v>
      </c>
      <c r="F114" s="244" t="e">
        <f>#N/A</f>
        <v>#N/A</v>
      </c>
      <c r="G114" s="244" t="e">
        <f>#N/A</f>
        <v>#N/A</v>
      </c>
      <c r="H114" s="244" t="e">
        <f>#N/A</f>
        <v>#N/A</v>
      </c>
      <c r="I114" s="36" t="e">
        <f>#N/A</f>
        <v>#N/A</v>
      </c>
      <c r="J114" s="36" t="e">
        <f>#N/A</f>
        <v>#N/A</v>
      </c>
      <c r="K114" s="313"/>
      <c r="L114" s="313"/>
      <c r="M114" s="313"/>
      <c r="N114" s="313"/>
      <c r="O114" s="313"/>
      <c r="P114" s="346"/>
      <c r="W114" s="89"/>
      <c r="Z114" s="363">
        <f t="shared" si="40"/>
        <v>0</v>
      </c>
    </row>
    <row r="115" spans="2:26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 t="e">
        <f>#N/A</f>
        <v>#N/A</v>
      </c>
      <c r="H115" s="244" t="e">
        <f>#N/A</f>
        <v>#N/A</v>
      </c>
      <c r="I115" s="36" t="e">
        <f>#N/A</f>
        <v>#N/A</v>
      </c>
      <c r="J115" s="36" t="e">
        <f>#N/A</f>
        <v>#N/A</v>
      </c>
      <c r="K115" s="313"/>
      <c r="L115" s="313"/>
      <c r="M115" s="313"/>
      <c r="N115" s="313"/>
      <c r="O115" s="313"/>
      <c r="P115" s="346"/>
      <c r="W115" s="89"/>
      <c r="Z115" s="363">
        <f t="shared" si="40"/>
        <v>0</v>
      </c>
    </row>
    <row r="116" spans="2:26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 t="e">
        <f>#N/A</f>
        <v>#N/A</v>
      </c>
      <c r="H116" s="244" t="e">
        <f>#N/A</f>
        <v>#N/A</v>
      </c>
      <c r="I116" s="36" t="e">
        <f>#N/A</f>
        <v>#N/A</v>
      </c>
      <c r="J116" s="36" t="e">
        <f>#N/A</f>
        <v>#N/A</v>
      </c>
      <c r="K116" s="313"/>
      <c r="L116" s="313"/>
      <c r="M116" s="313"/>
      <c r="N116" s="313"/>
      <c r="O116" s="313"/>
      <c r="P116" s="346"/>
      <c r="W116" s="89"/>
      <c r="Z116" s="363">
        <f t="shared" si="40"/>
        <v>0</v>
      </c>
    </row>
    <row r="117" spans="2:26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 t="e">
        <f>#N/A</f>
        <v>#N/A</v>
      </c>
      <c r="H117" s="244" t="e">
        <f>#N/A</f>
        <v>#N/A</v>
      </c>
      <c r="I117" s="36" t="e">
        <f>#N/A</f>
        <v>#N/A</v>
      </c>
      <c r="J117" s="36" t="e">
        <f>#N/A</f>
        <v>#N/A</v>
      </c>
      <c r="K117" s="313"/>
      <c r="L117" s="313"/>
      <c r="M117" s="313"/>
      <c r="N117" s="313"/>
      <c r="O117" s="313"/>
      <c r="P117" s="346"/>
      <c r="W117" s="89"/>
      <c r="Z117" s="363">
        <f t="shared" si="40"/>
        <v>0</v>
      </c>
    </row>
    <row r="118" spans="2:26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 t="e">
        <f>#N/A</f>
        <v>#N/A</v>
      </c>
      <c r="H118" s="244" t="e">
        <f>#N/A</f>
        <v>#N/A</v>
      </c>
      <c r="I118" s="36" t="e">
        <f>#N/A</f>
        <v>#N/A</v>
      </c>
      <c r="J118" s="36" t="e">
        <f>#N/A</f>
        <v>#N/A</v>
      </c>
      <c r="K118" s="313"/>
      <c r="L118" s="313"/>
      <c r="M118" s="313"/>
      <c r="N118" s="313"/>
      <c r="O118" s="313"/>
      <c r="P118" s="346"/>
      <c r="W118" s="89"/>
      <c r="Z118" s="363">
        <f t="shared" si="40"/>
        <v>0</v>
      </c>
    </row>
    <row r="119" spans="2:26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 t="e">
        <f>#N/A</f>
        <v>#N/A</v>
      </c>
      <c r="H119" s="244" t="e">
        <f>#N/A</f>
        <v>#N/A</v>
      </c>
      <c r="I119" s="36" t="e">
        <f>#N/A</f>
        <v>#N/A</v>
      </c>
      <c r="J119" s="36" t="e">
        <f>#N/A</f>
        <v>#N/A</v>
      </c>
      <c r="K119" s="313"/>
      <c r="L119" s="313"/>
      <c r="M119" s="313"/>
      <c r="N119" s="313"/>
      <c r="O119" s="313"/>
      <c r="P119" s="346"/>
      <c r="W119" s="89"/>
      <c r="Z119" s="363">
        <f t="shared" si="40"/>
        <v>0</v>
      </c>
    </row>
    <row r="120" spans="2:26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 t="e">
        <f>#N/A</f>
        <v>#N/A</v>
      </c>
      <c r="H120" s="244" t="e">
        <f>#N/A</f>
        <v>#N/A</v>
      </c>
      <c r="I120" s="36" t="e">
        <f>#N/A</f>
        <v>#N/A</v>
      </c>
      <c r="J120" s="36" t="e">
        <f>#N/A</f>
        <v>#N/A</v>
      </c>
      <c r="K120" s="313"/>
      <c r="L120" s="313"/>
      <c r="M120" s="313"/>
      <c r="N120" s="313"/>
      <c r="O120" s="313"/>
      <c r="P120" s="346"/>
      <c r="W120" s="89"/>
      <c r="Z120" s="363">
        <f t="shared" si="40"/>
        <v>0</v>
      </c>
    </row>
    <row r="121" spans="2:26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 t="e">
        <f>#N/A</f>
        <v>#N/A</v>
      </c>
      <c r="H121" s="244" t="e">
        <f>#N/A</f>
        <v>#N/A</v>
      </c>
      <c r="I121" s="36" t="e">
        <f>#N/A</f>
        <v>#N/A</v>
      </c>
      <c r="J121" s="36" t="e">
        <f>#N/A</f>
        <v>#N/A</v>
      </c>
      <c r="K121" s="313"/>
      <c r="L121" s="313"/>
      <c r="M121" s="313"/>
      <c r="N121" s="313"/>
      <c r="O121" s="313"/>
      <c r="P121" s="346"/>
      <c r="W121" s="89"/>
      <c r="Z121" s="363">
        <f t="shared" si="40"/>
        <v>0</v>
      </c>
    </row>
    <row r="122" spans="2:26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 t="e">
        <f>#N/A</f>
        <v>#N/A</v>
      </c>
      <c r="H122" s="244" t="e">
        <f>#N/A</f>
        <v>#N/A</v>
      </c>
      <c r="I122" s="36" t="e">
        <f>#N/A</f>
        <v>#N/A</v>
      </c>
      <c r="J122" s="36" t="e">
        <f>#N/A</f>
        <v>#N/A</v>
      </c>
      <c r="K122" s="313"/>
      <c r="L122" s="313"/>
      <c r="M122" s="313"/>
      <c r="N122" s="313"/>
      <c r="O122" s="313"/>
      <c r="P122" s="346"/>
      <c r="W122" s="89"/>
      <c r="Z122" s="363">
        <f t="shared" si="40"/>
        <v>0</v>
      </c>
    </row>
    <row r="123" spans="2:26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 t="e">
        <f>#N/A</f>
        <v>#N/A</v>
      </c>
      <c r="H123" s="244" t="e">
        <f>#N/A</f>
        <v>#N/A</v>
      </c>
      <c r="I123" s="36" t="e">
        <f>#N/A</f>
        <v>#N/A</v>
      </c>
      <c r="J123" s="36" t="e">
        <f>#N/A</f>
        <v>#N/A</v>
      </c>
      <c r="K123" s="313"/>
      <c r="L123" s="313"/>
      <c r="M123" s="313"/>
      <c r="N123" s="313"/>
      <c r="O123" s="313"/>
      <c r="P123" s="346"/>
      <c r="W123" s="89"/>
      <c r="Z123" s="363">
        <f t="shared" si="40"/>
        <v>0</v>
      </c>
    </row>
    <row r="124" spans="2:26" s="242" customFormat="1" ht="25.5" customHeight="1" hidden="1">
      <c r="B124" s="275" t="s">
        <v>158</v>
      </c>
      <c r="C124" s="276"/>
      <c r="D124" s="277" t="e">
        <f>D112+D113</f>
        <v>#N/A</v>
      </c>
      <c r="E124" s="277" t="e">
        <f>E112+E113</f>
        <v>#N/A</v>
      </c>
      <c r="F124" s="277" t="e">
        <f>F112+F113</f>
        <v>#N/A</v>
      </c>
      <c r="G124" s="278" t="e">
        <f>#N/A</f>
        <v>#N/A</v>
      </c>
      <c r="H124" s="277" t="e">
        <f>#N/A</f>
        <v>#N/A</v>
      </c>
      <c r="I124" s="279" t="e">
        <f>#N/A</f>
        <v>#N/A</v>
      </c>
      <c r="J124" s="279" t="e">
        <f>#N/A</f>
        <v>#N/A</v>
      </c>
      <c r="K124" s="314"/>
      <c r="L124" s="314"/>
      <c r="M124" s="314"/>
      <c r="N124" s="314"/>
      <c r="O124" s="314"/>
      <c r="P124" s="347"/>
      <c r="W124" s="243"/>
      <c r="Z124" s="363">
        <f t="shared" si="40"/>
        <v>0</v>
      </c>
    </row>
    <row r="125" ht="15" hidden="1">
      <c r="Z125" s="363">
        <f t="shared" si="40"/>
        <v>0</v>
      </c>
    </row>
    <row r="126" ht="15" hidden="1">
      <c r="Z126" s="363">
        <f t="shared" si="40"/>
        <v>0</v>
      </c>
    </row>
    <row r="127" ht="15" hidden="1">
      <c r="Z127" s="363">
        <f t="shared" si="40"/>
        <v>0</v>
      </c>
    </row>
    <row r="128" ht="15" hidden="1">
      <c r="Z128" s="363">
        <f t="shared" si="40"/>
        <v>0</v>
      </c>
    </row>
    <row r="129" ht="15" hidden="1">
      <c r="Z129" s="363">
        <f t="shared" si="40"/>
        <v>0</v>
      </c>
    </row>
    <row r="130" ht="15" hidden="1">
      <c r="Z130" s="363">
        <f t="shared" si="40"/>
        <v>0</v>
      </c>
    </row>
    <row r="131" spans="2:26" ht="15" hidden="1">
      <c r="B131" s="360" t="s">
        <v>254</v>
      </c>
      <c r="Z131" s="363">
        <f t="shared" si="40"/>
        <v>0</v>
      </c>
    </row>
    <row r="132" spans="1:26" s="6" customFormat="1" ht="30.75" customHeight="1" hidden="1">
      <c r="A132" s="8"/>
      <c r="B132" s="351" t="s">
        <v>116</v>
      </c>
      <c r="C132" s="120">
        <v>13010200</v>
      </c>
      <c r="D132" s="162">
        <v>0</v>
      </c>
      <c r="E132" s="162">
        <v>0</v>
      </c>
      <c r="F132" s="163">
        <v>0.49</v>
      </c>
      <c r="G132" s="150">
        <f aca="true" t="shared" si="41" ref="G132:G140">F132-E132</f>
        <v>0.49</v>
      </c>
      <c r="H132" s="157"/>
      <c r="I132" s="158">
        <f aca="true" t="shared" si="42" ref="I132:I140">F132-D132</f>
        <v>0.49</v>
      </c>
      <c r="J132" s="158"/>
      <c r="K132" s="158"/>
      <c r="L132" s="158"/>
      <c r="M132" s="158"/>
      <c r="N132" s="158">
        <v>0.17</v>
      </c>
      <c r="O132" s="158">
        <f aca="true" t="shared" si="43" ref="O132:O138">D132-N132</f>
        <v>-0.17</v>
      </c>
      <c r="P132" s="210">
        <f aca="true" t="shared" si="44" ref="P132:P138">D132/N132</f>
        <v>0</v>
      </c>
      <c r="Q132" s="167">
        <v>0.17</v>
      </c>
      <c r="R132" s="161">
        <f aca="true" t="shared" si="45" ref="R132:R140">F132-Q132</f>
        <v>0.31999999999999995</v>
      </c>
      <c r="S132" s="208">
        <f>F132/Q132</f>
        <v>2.88235294117647</v>
      </c>
      <c r="T132" s="157">
        <f>E132-серпень!E132</f>
        <v>0</v>
      </c>
      <c r="U132" s="160">
        <f>F132-серпень!F132</f>
        <v>0.49</v>
      </c>
      <c r="V132" s="161">
        <f aca="true" t="shared" si="46" ref="V132:V140">U132-T132</f>
        <v>0.49</v>
      </c>
      <c r="W132" s="158"/>
      <c r="X132" s="104"/>
      <c r="Y132" s="100" t="e">
        <f>#N/A</f>
        <v>#N/A</v>
      </c>
      <c r="Z132" s="363">
        <f t="shared" si="40"/>
        <v>2.88235294117647</v>
      </c>
    </row>
    <row r="133" spans="1:26" s="6" customFormat="1" ht="30.75" hidden="1">
      <c r="A133" s="8"/>
      <c r="B133" s="352" t="s">
        <v>117</v>
      </c>
      <c r="C133" s="43" t="s">
        <v>58</v>
      </c>
      <c r="D133" s="150">
        <v>125</v>
      </c>
      <c r="E133" s="150">
        <v>90</v>
      </c>
      <c r="F133" s="156">
        <v>147.46</v>
      </c>
      <c r="G133" s="150">
        <f t="shared" si="41"/>
        <v>57.46000000000001</v>
      </c>
      <c r="H133" s="157">
        <f>F133/E133*100</f>
        <v>163.84444444444446</v>
      </c>
      <c r="I133" s="158">
        <f t="shared" si="42"/>
        <v>22.460000000000008</v>
      </c>
      <c r="J133" s="158">
        <f>F133/D133*100</f>
        <v>117.968</v>
      </c>
      <c r="K133" s="158"/>
      <c r="L133" s="158"/>
      <c r="M133" s="158"/>
      <c r="N133" s="158">
        <v>124.7</v>
      </c>
      <c r="O133" s="158">
        <f t="shared" si="43"/>
        <v>0.29999999999999716</v>
      </c>
      <c r="P133" s="210">
        <f t="shared" si="44"/>
        <v>1.0024057738572574</v>
      </c>
      <c r="Q133" s="161">
        <v>105.8</v>
      </c>
      <c r="R133" s="161">
        <f t="shared" si="45"/>
        <v>41.66000000000001</v>
      </c>
      <c r="S133" s="208">
        <f>F133/Q133</f>
        <v>1.3937618147448017</v>
      </c>
      <c r="T133" s="157">
        <f>E133-серпень!E133</f>
        <v>90</v>
      </c>
      <c r="U133" s="160">
        <f>F133-серпень!F133</f>
        <v>147.46</v>
      </c>
      <c r="V133" s="161">
        <f t="shared" si="46"/>
        <v>57.46000000000001</v>
      </c>
      <c r="W133" s="158">
        <f>U133/T133*100</f>
        <v>163.84444444444446</v>
      </c>
      <c r="X133" s="37">
        <v>0</v>
      </c>
      <c r="Y133" s="100" t="e">
        <f>#N/A</f>
        <v>#N/A</v>
      </c>
      <c r="Z133" s="363">
        <f t="shared" si="40"/>
        <v>0.3913560408875443</v>
      </c>
    </row>
    <row r="134" spans="1:26" s="6" customFormat="1" ht="18" hidden="1">
      <c r="A134" s="8"/>
      <c r="B134" s="353" t="s">
        <v>61</v>
      </c>
      <c r="C134" s="42">
        <v>21080500</v>
      </c>
      <c r="D134" s="150">
        <v>40</v>
      </c>
      <c r="E134" s="150">
        <v>25</v>
      </c>
      <c r="F134" s="156">
        <v>128.3</v>
      </c>
      <c r="G134" s="150">
        <f t="shared" si="41"/>
        <v>103.30000000000001</v>
      </c>
      <c r="H134" s="164">
        <f>F134/E134*100</f>
        <v>513.2</v>
      </c>
      <c r="I134" s="165">
        <f t="shared" si="42"/>
        <v>88.30000000000001</v>
      </c>
      <c r="J134" s="165">
        <f>F134/D134*100</f>
        <v>320.75000000000006</v>
      </c>
      <c r="K134" s="165"/>
      <c r="L134" s="165"/>
      <c r="M134" s="165"/>
      <c r="N134" s="165">
        <v>31.98</v>
      </c>
      <c r="O134" s="165">
        <f t="shared" si="43"/>
        <v>8.02</v>
      </c>
      <c r="P134" s="218">
        <f t="shared" si="44"/>
        <v>1.2507817385866167</v>
      </c>
      <c r="Q134" s="165">
        <v>31.98</v>
      </c>
      <c r="R134" s="165">
        <f t="shared" si="45"/>
        <v>96.32000000000001</v>
      </c>
      <c r="S134" s="218">
        <f>F134/Q134</f>
        <v>4.011882426516573</v>
      </c>
      <c r="T134" s="157">
        <f>E134-серпень!E134</f>
        <v>25</v>
      </c>
      <c r="U134" s="160">
        <f>F134-серпень!F134</f>
        <v>128.3</v>
      </c>
      <c r="V134" s="161">
        <f t="shared" si="46"/>
        <v>103.30000000000001</v>
      </c>
      <c r="W134" s="165">
        <f>U134/T134</f>
        <v>5.132000000000001</v>
      </c>
      <c r="X134" s="37">
        <v>10</v>
      </c>
      <c r="Y134" s="37" t="e">
        <f>#N/A</f>
        <v>#N/A</v>
      </c>
      <c r="Z134" s="363">
        <f t="shared" si="40"/>
        <v>2.7611006879299564</v>
      </c>
    </row>
    <row r="135" spans="1:26" s="6" customFormat="1" ht="31.5" hidden="1">
      <c r="A135" s="8"/>
      <c r="B135" s="354" t="s">
        <v>39</v>
      </c>
      <c r="C135" s="71">
        <v>21080900</v>
      </c>
      <c r="D135" s="150">
        <f>6.5-6.5</f>
        <v>0</v>
      </c>
      <c r="E135" s="150">
        <v>0</v>
      </c>
      <c r="F135" s="156">
        <v>12.95</v>
      </c>
      <c r="G135" s="150">
        <f t="shared" si="41"/>
        <v>12.95</v>
      </c>
      <c r="H135" s="164"/>
      <c r="I135" s="165">
        <f t="shared" si="42"/>
        <v>12.95</v>
      </c>
      <c r="J135" s="165"/>
      <c r="K135" s="165"/>
      <c r="L135" s="165"/>
      <c r="M135" s="165"/>
      <c r="N135" s="165">
        <v>0.1</v>
      </c>
      <c r="O135" s="165">
        <f t="shared" si="43"/>
        <v>-0.1</v>
      </c>
      <c r="P135" s="218">
        <f t="shared" si="44"/>
        <v>0</v>
      </c>
      <c r="Q135" s="165">
        <v>0.1</v>
      </c>
      <c r="R135" s="165">
        <f t="shared" si="45"/>
        <v>12.85</v>
      </c>
      <c r="S135" s="218"/>
      <c r="T135" s="157">
        <f>E135-серпень!E135</f>
        <v>0</v>
      </c>
      <c r="U135" s="160">
        <f>F135-серпень!F135</f>
        <v>12.95</v>
      </c>
      <c r="V135" s="161">
        <f t="shared" si="46"/>
        <v>12.95</v>
      </c>
      <c r="W135" s="165"/>
      <c r="X135" s="37">
        <v>0</v>
      </c>
      <c r="Y135" s="37" t="e">
        <f>#N/A</f>
        <v>#N/A</v>
      </c>
      <c r="Z135" s="363">
        <f t="shared" si="40"/>
        <v>0</v>
      </c>
    </row>
    <row r="136" spans="1:26" s="6" customFormat="1" ht="18" hidden="1">
      <c r="A136" s="8"/>
      <c r="B136" s="352" t="s">
        <v>16</v>
      </c>
      <c r="C136" s="72">
        <v>21081100</v>
      </c>
      <c r="D136" s="150">
        <v>260</v>
      </c>
      <c r="E136" s="150">
        <v>194</v>
      </c>
      <c r="F136" s="156">
        <v>620.32</v>
      </c>
      <c r="G136" s="150">
        <f t="shared" si="41"/>
        <v>426.32000000000005</v>
      </c>
      <c r="H136" s="164">
        <f>F136/E136*100</f>
        <v>319.75257731958766</v>
      </c>
      <c r="I136" s="165">
        <f t="shared" si="42"/>
        <v>360.32000000000005</v>
      </c>
      <c r="J136" s="165">
        <f>F136/D136*100</f>
        <v>238.5846153846154</v>
      </c>
      <c r="K136" s="165"/>
      <c r="L136" s="165"/>
      <c r="M136" s="165"/>
      <c r="N136" s="165">
        <v>241.07</v>
      </c>
      <c r="O136" s="165">
        <f t="shared" si="43"/>
        <v>18.930000000000007</v>
      </c>
      <c r="P136" s="218">
        <f t="shared" si="44"/>
        <v>1.0785249097772431</v>
      </c>
      <c r="Q136" s="165">
        <v>197.12</v>
      </c>
      <c r="R136" s="165">
        <f t="shared" si="45"/>
        <v>423.20000000000005</v>
      </c>
      <c r="S136" s="218">
        <f aca="true" t="shared" si="47" ref="S136:S141">F136/Q136</f>
        <v>3.1469155844155847</v>
      </c>
      <c r="T136" s="157">
        <f>E136-серпень!E136</f>
        <v>194</v>
      </c>
      <c r="U136" s="160">
        <f>F136-серпень!F136</f>
        <v>620.32</v>
      </c>
      <c r="V136" s="161">
        <f t="shared" si="46"/>
        <v>426.32000000000005</v>
      </c>
      <c r="W136" s="165">
        <f>U136/T136</f>
        <v>3.1975257731958764</v>
      </c>
      <c r="X136" s="37">
        <v>70</v>
      </c>
      <c r="Y136" s="37" t="e">
        <f>#N/A</f>
        <v>#N/A</v>
      </c>
      <c r="Z136" s="363">
        <f t="shared" si="40"/>
        <v>2.0683906746383416</v>
      </c>
    </row>
    <row r="137" spans="1:26" s="6" customFormat="1" ht="46.5" hidden="1">
      <c r="A137" s="8"/>
      <c r="B137" s="352" t="s">
        <v>80</v>
      </c>
      <c r="C137" s="72">
        <v>21081500</v>
      </c>
      <c r="D137" s="150">
        <v>97.5</v>
      </c>
      <c r="E137" s="150">
        <v>74.8</v>
      </c>
      <c r="F137" s="156">
        <v>78.43</v>
      </c>
      <c r="G137" s="150">
        <f t="shared" si="41"/>
        <v>3.6300000000000097</v>
      </c>
      <c r="H137" s="164">
        <f>F137/E137*100</f>
        <v>104.8529411764706</v>
      </c>
      <c r="I137" s="165">
        <f t="shared" si="42"/>
        <v>-19.069999999999993</v>
      </c>
      <c r="J137" s="165">
        <f>F137/D137*100</f>
        <v>80.44102564102565</v>
      </c>
      <c r="K137" s="165"/>
      <c r="L137" s="165"/>
      <c r="M137" s="165"/>
      <c r="N137" s="165">
        <v>86.37</v>
      </c>
      <c r="O137" s="165">
        <f t="shared" si="43"/>
        <v>11.129999999999995</v>
      </c>
      <c r="P137" s="218">
        <f t="shared" si="44"/>
        <v>1.1288641889544981</v>
      </c>
      <c r="Q137" s="165">
        <v>41.15</v>
      </c>
      <c r="R137" s="165">
        <f t="shared" si="45"/>
        <v>37.28000000000001</v>
      </c>
      <c r="S137" s="218">
        <f t="shared" si="47"/>
        <v>1.9059538274605106</v>
      </c>
      <c r="T137" s="157">
        <f>E137-серпень!E137</f>
        <v>74.8</v>
      </c>
      <c r="U137" s="160">
        <f>F137-серпень!F137</f>
        <v>78.43</v>
      </c>
      <c r="V137" s="161">
        <f t="shared" si="46"/>
        <v>3.6300000000000097</v>
      </c>
      <c r="W137" s="165">
        <f>U137/T137</f>
        <v>1.048529411764706</v>
      </c>
      <c r="X137" s="37">
        <v>0</v>
      </c>
      <c r="Y137" s="37" t="e">
        <f>#N/A</f>
        <v>#N/A</v>
      </c>
      <c r="Z137" s="363">
        <f t="shared" si="40"/>
        <v>0.7770896385060124</v>
      </c>
    </row>
    <row r="138" spans="1:26" s="6" customFormat="1" ht="46.5" hidden="1">
      <c r="A138" s="8"/>
      <c r="B138" s="352" t="s">
        <v>17</v>
      </c>
      <c r="C138" s="11" t="s">
        <v>18</v>
      </c>
      <c r="D138" s="150">
        <v>2.5</v>
      </c>
      <c r="E138" s="150">
        <v>2.5</v>
      </c>
      <c r="F138" s="156">
        <v>2.04</v>
      </c>
      <c r="G138" s="150">
        <f t="shared" si="41"/>
        <v>-0.45999999999999996</v>
      </c>
      <c r="H138" s="164">
        <f>F138/E138*100</f>
        <v>81.60000000000001</v>
      </c>
      <c r="I138" s="165">
        <f t="shared" si="42"/>
        <v>-0.45999999999999996</v>
      </c>
      <c r="J138" s="165">
        <f>F138/D138*100</f>
        <v>81.60000000000001</v>
      </c>
      <c r="K138" s="165"/>
      <c r="L138" s="165"/>
      <c r="M138" s="165"/>
      <c r="N138" s="165">
        <v>2.46</v>
      </c>
      <c r="O138" s="165">
        <f t="shared" si="43"/>
        <v>0.040000000000000036</v>
      </c>
      <c r="P138" s="218">
        <f t="shared" si="44"/>
        <v>1.016260162601626</v>
      </c>
      <c r="Q138" s="165">
        <v>2.46</v>
      </c>
      <c r="R138" s="165">
        <f t="shared" si="45"/>
        <v>-0.41999999999999993</v>
      </c>
      <c r="S138" s="218">
        <f t="shared" si="47"/>
        <v>0.8292682926829269</v>
      </c>
      <c r="T138" s="157">
        <f>E138-серпень!E138</f>
        <v>2.5</v>
      </c>
      <c r="U138" s="160">
        <f>F138-серпень!F138</f>
        <v>2.04</v>
      </c>
      <c r="V138" s="161">
        <f t="shared" si="46"/>
        <v>-0.45999999999999996</v>
      </c>
      <c r="W138" s="165"/>
      <c r="X138" s="37">
        <v>0</v>
      </c>
      <c r="Y138" s="37" t="e">
        <f>#N/A</f>
        <v>#N/A</v>
      </c>
      <c r="Z138" s="363">
        <f t="shared" si="40"/>
        <v>-0.1869918699186992</v>
      </c>
    </row>
    <row r="139" spans="1:26" s="6" customFormat="1" ht="18" hidden="1">
      <c r="A139" s="8"/>
      <c r="B139" s="358" t="s">
        <v>44</v>
      </c>
      <c r="C139" s="43">
        <v>31010200</v>
      </c>
      <c r="D139" s="150">
        <v>15</v>
      </c>
      <c r="E139" s="150">
        <v>11.3</v>
      </c>
      <c r="F139" s="156">
        <v>34.22</v>
      </c>
      <c r="G139" s="150">
        <f t="shared" si="41"/>
        <v>22.919999999999998</v>
      </c>
      <c r="H139" s="164">
        <f>F139/E139*100</f>
        <v>302.8318584070796</v>
      </c>
      <c r="I139" s="165">
        <f t="shared" si="42"/>
        <v>19.22</v>
      </c>
      <c r="J139" s="165">
        <f>F139/D139*100</f>
        <v>228.13333333333335</v>
      </c>
      <c r="K139" s="165"/>
      <c r="L139" s="165"/>
      <c r="M139" s="165"/>
      <c r="N139" s="165">
        <v>13.52</v>
      </c>
      <c r="O139" s="165">
        <f>D139-N139</f>
        <v>1.4800000000000004</v>
      </c>
      <c r="P139" s="218">
        <f>D139/N139</f>
        <v>1.1094674556213018</v>
      </c>
      <c r="Q139" s="165">
        <v>13.52</v>
      </c>
      <c r="R139" s="165">
        <f t="shared" si="45"/>
        <v>20.7</v>
      </c>
      <c r="S139" s="218">
        <f t="shared" si="47"/>
        <v>2.5310650887573964</v>
      </c>
      <c r="T139" s="157">
        <f>E139-серпень!E139</f>
        <v>11.3</v>
      </c>
      <c r="U139" s="160">
        <f>F139-серпень!F139</f>
        <v>34.22</v>
      </c>
      <c r="V139" s="161">
        <f t="shared" si="46"/>
        <v>22.919999999999998</v>
      </c>
      <c r="W139" s="165">
        <f>U139/T139</f>
        <v>3.0283185840707962</v>
      </c>
      <c r="X139" s="37">
        <v>3.2</v>
      </c>
      <c r="Y139" s="37" t="e">
        <f>#N/A</f>
        <v>#N/A</v>
      </c>
      <c r="Z139" s="363">
        <f t="shared" si="40"/>
        <v>1.4215976331360947</v>
      </c>
    </row>
    <row r="140" spans="1:26" s="6" customFormat="1" ht="30.75" hidden="1">
      <c r="A140" s="8"/>
      <c r="B140" s="358" t="s">
        <v>57</v>
      </c>
      <c r="C140" s="43">
        <v>31020000</v>
      </c>
      <c r="D140" s="150">
        <v>0</v>
      </c>
      <c r="E140" s="150">
        <v>0</v>
      </c>
      <c r="F140" s="156">
        <v>-5.17</v>
      </c>
      <c r="G140" s="150">
        <f t="shared" si="41"/>
        <v>-5.17</v>
      </c>
      <c r="H140" s="164"/>
      <c r="I140" s="165">
        <f t="shared" si="42"/>
        <v>-5.17</v>
      </c>
      <c r="J140" s="165"/>
      <c r="K140" s="165"/>
      <c r="L140" s="165"/>
      <c r="M140" s="165"/>
      <c r="N140" s="165">
        <v>7.37</v>
      </c>
      <c r="O140" s="165">
        <f>D140-N140</f>
        <v>-7.37</v>
      </c>
      <c r="P140" s="218">
        <f>D140/N140</f>
        <v>0</v>
      </c>
      <c r="Q140" s="165">
        <v>1.02</v>
      </c>
      <c r="R140" s="165">
        <f t="shared" si="45"/>
        <v>-6.1899999999999995</v>
      </c>
      <c r="S140" s="218">
        <f t="shared" si="47"/>
        <v>-5.068627450980392</v>
      </c>
      <c r="T140" s="157">
        <f>E140-серпень!E140</f>
        <v>0</v>
      </c>
      <c r="U140" s="160">
        <f>F140-серпень!F140</f>
        <v>-5.17</v>
      </c>
      <c r="V140" s="161">
        <f t="shared" si="46"/>
        <v>-5.17</v>
      </c>
      <c r="W140" s="165"/>
      <c r="X140" s="37">
        <v>0</v>
      </c>
      <c r="Y140" s="37" t="e">
        <f>#N/A</f>
        <v>#N/A</v>
      </c>
      <c r="Z140" s="363">
        <f t="shared" si="40"/>
        <v>-5.068627450980392</v>
      </c>
    </row>
    <row r="141" spans="4:26" ht="15" hidden="1">
      <c r="D141" s="29">
        <f>D132+D133+D134+D135+D136+D137+D138+D139+D140</f>
        <v>540</v>
      </c>
      <c r="E141" s="29">
        <f>E132+E133+E134+E135+E136+E137+E138+E139+E140</f>
        <v>397.6</v>
      </c>
      <c r="F141" s="29">
        <f>F132+F133+F134+F135+F136+F137+F138+F139+F140</f>
        <v>1019.0400000000001</v>
      </c>
      <c r="G141" s="29">
        <f>F141-E141</f>
        <v>621.44</v>
      </c>
      <c r="H141" s="29">
        <f>F141/E141*100</f>
        <v>256.29778672032194</v>
      </c>
      <c r="I141" s="29">
        <f>F141-D141</f>
        <v>479.0400000000001</v>
      </c>
      <c r="J141" s="25">
        <f>F141/D141*100</f>
        <v>188.7111111111111</v>
      </c>
      <c r="N141" s="29">
        <f>N132+N133+N134+N135+N136+N137+N138+N139+N140</f>
        <v>507.73999999999995</v>
      </c>
      <c r="O141" s="29">
        <f>D141-N141</f>
        <v>32.26000000000005</v>
      </c>
      <c r="P141" s="230">
        <f>D141/N141</f>
        <v>1.063536455666286</v>
      </c>
      <c r="Q141" s="29">
        <f>Q132+Q133+Q134+Q135+Q136+Q137+Q138+Q139+Q140</f>
        <v>393.3199999999999</v>
      </c>
      <c r="R141" s="29">
        <f>F141-Q141</f>
        <v>625.7200000000003</v>
      </c>
      <c r="S141" s="230">
        <f t="shared" si="47"/>
        <v>2.5908674870334596</v>
      </c>
      <c r="Z141" s="363">
        <f t="shared" si="40"/>
        <v>1.5273310313671735</v>
      </c>
    </row>
    <row r="142" ht="15" hidden="1">
      <c r="Z142" s="363"/>
    </row>
    <row r="143" spans="2:26" ht="15" hidden="1">
      <c r="B143" s="284" t="s">
        <v>255</v>
      </c>
      <c r="Z143" s="363"/>
    </row>
    <row r="144" spans="1:26" s="6" customFormat="1" ht="30.75" hidden="1">
      <c r="A144" s="8"/>
      <c r="B144" s="350" t="s">
        <v>105</v>
      </c>
      <c r="C144" s="49">
        <v>22010300</v>
      </c>
      <c r="D144" s="150">
        <v>730</v>
      </c>
      <c r="E144" s="150">
        <v>640</v>
      </c>
      <c r="F144" s="156">
        <v>906.99</v>
      </c>
      <c r="G144" s="150">
        <f aca="true" t="shared" si="48" ref="G144:G149">F144-E144</f>
        <v>266.99</v>
      </c>
      <c r="H144" s="164">
        <f>F144/E144*100</f>
        <v>141.7171875</v>
      </c>
      <c r="I144" s="165">
        <f aca="true" t="shared" si="49" ref="I144:I149">F144-D144</f>
        <v>176.99</v>
      </c>
      <c r="J144" s="165">
        <f>F144/D144*100</f>
        <v>124.24520547945205</v>
      </c>
      <c r="K144" s="165"/>
      <c r="L144" s="165"/>
      <c r="M144" s="165"/>
      <c r="N144" s="165">
        <v>791.33</v>
      </c>
      <c r="O144" s="165">
        <f aca="true" t="shared" si="50" ref="O144:O149">D144-N144</f>
        <v>-61.33000000000004</v>
      </c>
      <c r="P144" s="218">
        <f aca="true" t="shared" si="51" ref="P144:P149">D144/N144</f>
        <v>0.9224975673865518</v>
      </c>
      <c r="Q144" s="165">
        <v>428.63</v>
      </c>
      <c r="R144" s="165">
        <f aca="true" t="shared" si="52" ref="R144:R149">F144-Q144</f>
        <v>478.36</v>
      </c>
      <c r="S144" s="218">
        <f>F144/Q144</f>
        <v>2.1160208104892333</v>
      </c>
      <c r="T144" s="157">
        <f>E144-серпень!E144</f>
        <v>640</v>
      </c>
      <c r="U144" s="160">
        <f>F144-серпень!F144</f>
        <v>906.99</v>
      </c>
      <c r="V144" s="161">
        <f>U144-T144</f>
        <v>266.99</v>
      </c>
      <c r="W144" s="165">
        <f>U144/T144</f>
        <v>1.417171875</v>
      </c>
      <c r="X144" s="37">
        <v>100</v>
      </c>
      <c r="Y144" s="37" t="e">
        <f>#N/A</f>
        <v>#N/A</v>
      </c>
      <c r="Z144" s="363">
        <f t="shared" si="40"/>
        <v>1.1935232431026814</v>
      </c>
    </row>
    <row r="145" spans="1:26" s="6" customFormat="1" ht="18" hidden="1">
      <c r="A145" s="8"/>
      <c r="B145" s="350" t="s">
        <v>223</v>
      </c>
      <c r="C145" s="49">
        <v>22010200</v>
      </c>
      <c r="D145" s="150">
        <v>0</v>
      </c>
      <c r="E145" s="150">
        <v>0</v>
      </c>
      <c r="F145" s="156">
        <v>23.38</v>
      </c>
      <c r="G145" s="150">
        <f t="shared" si="48"/>
        <v>23.38</v>
      </c>
      <c r="H145" s="164"/>
      <c r="I145" s="165">
        <f t="shared" si="49"/>
        <v>23.38</v>
      </c>
      <c r="J145" s="165"/>
      <c r="K145" s="165"/>
      <c r="L145" s="165"/>
      <c r="M145" s="165"/>
      <c r="N145" s="165">
        <v>0</v>
      </c>
      <c r="O145" s="165">
        <f t="shared" si="50"/>
        <v>0</v>
      </c>
      <c r="P145" s="218" t="e">
        <f t="shared" si="51"/>
        <v>#DIV/0!</v>
      </c>
      <c r="Q145" s="165"/>
      <c r="R145" s="165">
        <f t="shared" si="52"/>
        <v>23.38</v>
      </c>
      <c r="S145" s="218"/>
      <c r="T145" s="157">
        <f>E145-серпень!E145</f>
        <v>0</v>
      </c>
      <c r="U145" s="160">
        <f>F145-серпень!F145</f>
        <v>23.38</v>
      </c>
      <c r="V145" s="161">
        <f>U145-T145</f>
        <v>23.38</v>
      </c>
      <c r="W145" s="165"/>
      <c r="X145" s="37"/>
      <c r="Y145" s="37" t="e">
        <f>#N/A</f>
        <v>#N/A</v>
      </c>
      <c r="Z145" s="363" t="e">
        <f t="shared" si="40"/>
        <v>#DIV/0!</v>
      </c>
    </row>
    <row r="146" spans="1:26" s="6" customFormat="1" ht="18" hidden="1">
      <c r="A146" s="8"/>
      <c r="B146" s="356" t="s">
        <v>78</v>
      </c>
      <c r="C146" s="72">
        <v>22012500</v>
      </c>
      <c r="D146" s="150">
        <v>11000</v>
      </c>
      <c r="E146" s="150">
        <v>8940</v>
      </c>
      <c r="F146" s="156">
        <v>14765.24</v>
      </c>
      <c r="G146" s="150">
        <f t="shared" si="48"/>
        <v>5825.24</v>
      </c>
      <c r="H146" s="164">
        <f>F146/E146*100</f>
        <v>165.1592841163311</v>
      </c>
      <c r="I146" s="165">
        <f t="shared" si="49"/>
        <v>3765.24</v>
      </c>
      <c r="J146" s="165">
        <f>F146/D146*100</f>
        <v>134.22945454545453</v>
      </c>
      <c r="K146" s="165"/>
      <c r="L146" s="165"/>
      <c r="M146" s="165"/>
      <c r="N146" s="165">
        <v>11422.5</v>
      </c>
      <c r="O146" s="165">
        <f t="shared" si="50"/>
        <v>-422.5</v>
      </c>
      <c r="P146" s="218">
        <f t="shared" si="51"/>
        <v>0.9630115999124534</v>
      </c>
      <c r="Q146" s="165">
        <v>8067.74</v>
      </c>
      <c r="R146" s="165">
        <f t="shared" si="52"/>
        <v>6697.5</v>
      </c>
      <c r="S146" s="218">
        <f>F146/Q146</f>
        <v>1.8301581359835593</v>
      </c>
      <c r="T146" s="157">
        <f>E146-серпень!E146</f>
        <v>8940</v>
      </c>
      <c r="U146" s="160">
        <f>F146-серпень!F146</f>
        <v>14765.24</v>
      </c>
      <c r="V146" s="161">
        <f>U146-T146</f>
        <v>5825.24</v>
      </c>
      <c r="W146" s="165">
        <f>U146/T146</f>
        <v>1.651592841163311</v>
      </c>
      <c r="X146" s="37">
        <v>1400</v>
      </c>
      <c r="Y146" s="37" t="e">
        <f>#N/A</f>
        <v>#N/A</v>
      </c>
      <c r="Z146" s="363">
        <f t="shared" si="40"/>
        <v>0.8671465360711058</v>
      </c>
    </row>
    <row r="147" spans="1:26" s="6" customFormat="1" ht="31.5" hidden="1">
      <c r="A147" s="8"/>
      <c r="B147" s="356" t="s">
        <v>99</v>
      </c>
      <c r="C147" s="72">
        <v>22012600</v>
      </c>
      <c r="D147" s="150">
        <v>310</v>
      </c>
      <c r="E147" s="150">
        <v>235</v>
      </c>
      <c r="F147" s="156">
        <v>438.04</v>
      </c>
      <c r="G147" s="150">
        <f t="shared" si="48"/>
        <v>203.04000000000002</v>
      </c>
      <c r="H147" s="164">
        <f>F147/E147*100</f>
        <v>186.4</v>
      </c>
      <c r="I147" s="165">
        <f t="shared" si="49"/>
        <v>128.04000000000002</v>
      </c>
      <c r="J147" s="165">
        <f>F147/D147*100</f>
        <v>141.30322580645162</v>
      </c>
      <c r="K147" s="165"/>
      <c r="L147" s="165"/>
      <c r="M147" s="165"/>
      <c r="N147" s="165">
        <v>323.25</v>
      </c>
      <c r="O147" s="165">
        <f t="shared" si="50"/>
        <v>-13.25</v>
      </c>
      <c r="P147" s="218">
        <f t="shared" si="51"/>
        <v>0.9590100541376644</v>
      </c>
      <c r="Q147" s="165">
        <v>210.12</v>
      </c>
      <c r="R147" s="165">
        <f t="shared" si="52"/>
        <v>227.92000000000002</v>
      </c>
      <c r="S147" s="218">
        <f>F147/Q147</f>
        <v>2.084713497049305</v>
      </c>
      <c r="T147" s="157">
        <f>E147-серпень!E147</f>
        <v>235</v>
      </c>
      <c r="U147" s="160">
        <f>F147-серпень!F147</f>
        <v>438.04</v>
      </c>
      <c r="V147" s="161">
        <f>U147-T147</f>
        <v>203.04000000000002</v>
      </c>
      <c r="W147" s="165">
        <f>U147/T147</f>
        <v>1.864</v>
      </c>
      <c r="X147" s="37">
        <v>40</v>
      </c>
      <c r="Y147" s="37" t="e">
        <f>#N/A</f>
        <v>#N/A</v>
      </c>
      <c r="Z147" s="363">
        <f t="shared" si="40"/>
        <v>1.1257034429116408</v>
      </c>
    </row>
    <row r="148" spans="1:26" s="6" customFormat="1" ht="31.5" hidden="1">
      <c r="A148" s="8"/>
      <c r="B148" s="356" t="s">
        <v>106</v>
      </c>
      <c r="C148" s="72">
        <v>22012900</v>
      </c>
      <c r="D148" s="150">
        <v>20</v>
      </c>
      <c r="E148" s="150">
        <v>17</v>
      </c>
      <c r="F148" s="156">
        <v>29.28</v>
      </c>
      <c r="G148" s="150">
        <f t="shared" si="48"/>
        <v>12.280000000000001</v>
      </c>
      <c r="H148" s="164">
        <f>F148/E148*100</f>
        <v>172.23529411764707</v>
      </c>
      <c r="I148" s="165">
        <f t="shared" si="49"/>
        <v>9.280000000000001</v>
      </c>
      <c r="J148" s="165">
        <f>F148/D148*100</f>
        <v>146.4</v>
      </c>
      <c r="K148" s="165"/>
      <c r="L148" s="165"/>
      <c r="M148" s="165"/>
      <c r="N148" s="165">
        <v>22.36</v>
      </c>
      <c r="O148" s="165">
        <f t="shared" si="50"/>
        <v>-2.3599999999999994</v>
      </c>
      <c r="P148" s="218">
        <f t="shared" si="51"/>
        <v>0.8944543828264758</v>
      </c>
      <c r="Q148" s="165">
        <v>16.68</v>
      </c>
      <c r="R148" s="165">
        <f t="shared" si="52"/>
        <v>12.600000000000001</v>
      </c>
      <c r="S148" s="218">
        <f>F148/Q148</f>
        <v>1.7553956834532376</v>
      </c>
      <c r="T148" s="157">
        <f>E148-серпень!E148</f>
        <v>17</v>
      </c>
      <c r="U148" s="160">
        <f>F148-серпень!F148</f>
        <v>29.28</v>
      </c>
      <c r="V148" s="161">
        <f>U148-T148</f>
        <v>12.280000000000001</v>
      </c>
      <c r="W148" s="165">
        <f>U148/T148</f>
        <v>1.7223529411764706</v>
      </c>
      <c r="X148" s="37">
        <v>4</v>
      </c>
      <c r="Y148" s="37" t="e">
        <f>#N/A</f>
        <v>#N/A</v>
      </c>
      <c r="Z148" s="363">
        <f t="shared" si="40"/>
        <v>0.8609413006267618</v>
      </c>
    </row>
    <row r="149" spans="4:26" ht="15" hidden="1">
      <c r="D149" s="29">
        <f>D144+D145+D146+D147+D148</f>
        <v>12060</v>
      </c>
      <c r="E149" s="29">
        <f>E144+E145+E146+E147+E148</f>
        <v>9832</v>
      </c>
      <c r="F149" s="29">
        <f>F144+F145+F146+F147+F148</f>
        <v>16162.930000000002</v>
      </c>
      <c r="G149" s="29">
        <f t="shared" si="48"/>
        <v>6330.930000000002</v>
      </c>
      <c r="H149" s="230">
        <f>F149/E149</f>
        <v>1.6439106997558994</v>
      </c>
      <c r="I149" s="29">
        <f t="shared" si="49"/>
        <v>4102.930000000002</v>
      </c>
      <c r="J149" s="230">
        <f>F149/D149</f>
        <v>1.340209784411277</v>
      </c>
      <c r="N149" s="29">
        <f>N144+N145+N146+N147+N148</f>
        <v>12559.44</v>
      </c>
      <c r="O149" s="29">
        <f t="shared" si="50"/>
        <v>-499.4400000000005</v>
      </c>
      <c r="P149" s="230">
        <f t="shared" si="51"/>
        <v>0.9602338957787927</v>
      </c>
      <c r="Q149" s="29">
        <f>Q144+Q145+Q146+Q147+Q148</f>
        <v>8723.17</v>
      </c>
      <c r="R149" s="29">
        <f t="shared" si="52"/>
        <v>7439.760000000002</v>
      </c>
      <c r="S149" s="230">
        <f>F149/Q149</f>
        <v>1.8528734393574815</v>
      </c>
      <c r="Z149" s="363">
        <f t="shared" si="40"/>
        <v>0.8926395435786888</v>
      </c>
    </row>
    <row r="150" ht="15" hidden="1">
      <c r="Z150" s="363"/>
    </row>
    <row r="151" ht="15" hidden="1">
      <c r="Z151" s="363"/>
    </row>
    <row r="152" spans="2:26" ht="15" hidden="1">
      <c r="B152" s="284" t="s">
        <v>256</v>
      </c>
      <c r="Z152" s="363"/>
    </row>
    <row r="153" spans="1:26" s="6" customFormat="1" ht="15.75" customHeight="1" hidden="1">
      <c r="A153" s="8"/>
      <c r="B153" s="357" t="s">
        <v>13</v>
      </c>
      <c r="C153" s="11" t="s">
        <v>19</v>
      </c>
      <c r="D153" s="150">
        <v>7350</v>
      </c>
      <c r="E153" s="150">
        <v>6400</v>
      </c>
      <c r="F153" s="156">
        <v>6761.56</v>
      </c>
      <c r="G153" s="150">
        <f>F153-E153</f>
        <v>361.5600000000004</v>
      </c>
      <c r="H153" s="164">
        <f>F153/E153*100</f>
        <v>105.649375</v>
      </c>
      <c r="I153" s="165">
        <f>F153-D153</f>
        <v>-588.4399999999996</v>
      </c>
      <c r="J153" s="165">
        <f>F153/D153*100</f>
        <v>91.99401360544218</v>
      </c>
      <c r="K153" s="165"/>
      <c r="L153" s="165"/>
      <c r="M153" s="165"/>
      <c r="N153" s="165">
        <v>6525.16</v>
      </c>
      <c r="O153" s="165">
        <f>D153-N153</f>
        <v>824.8400000000001</v>
      </c>
      <c r="P153" s="218">
        <f>D153/N153</f>
        <v>1.1264091608481632</v>
      </c>
      <c r="Q153" s="165">
        <v>5154.13</v>
      </c>
      <c r="R153" s="165">
        <f>F153-Q153</f>
        <v>1607.4300000000003</v>
      </c>
      <c r="S153" s="218">
        <f>F153/Q153</f>
        <v>1.3118722267385572</v>
      </c>
      <c r="T153" s="157">
        <f>E153-серпень!E153</f>
        <v>6400</v>
      </c>
      <c r="U153" s="160">
        <f>F153-серпень!F153</f>
        <v>6761.56</v>
      </c>
      <c r="V153" s="161">
        <f>U153-T153</f>
        <v>361.5600000000004</v>
      </c>
      <c r="W153" s="165">
        <f>U153/T153</f>
        <v>1.05649375</v>
      </c>
      <c r="X153" s="37">
        <v>500</v>
      </c>
      <c r="Y153" s="37" t="e">
        <f>#N/A</f>
        <v>#N/A</v>
      </c>
      <c r="Z153" s="363">
        <f>S153-P153</f>
        <v>0.18546306589039396</v>
      </c>
    </row>
    <row r="154" spans="1:26" s="6" customFormat="1" ht="44.25" customHeight="1" hidden="1">
      <c r="A154" s="8"/>
      <c r="B154" s="357" t="s">
        <v>43</v>
      </c>
      <c r="C154" s="43">
        <v>24061900</v>
      </c>
      <c r="D154" s="150">
        <v>160</v>
      </c>
      <c r="E154" s="150">
        <v>90</v>
      </c>
      <c r="F154" s="156">
        <v>60.14</v>
      </c>
      <c r="G154" s="150">
        <f>F154-E154</f>
        <v>-29.86</v>
      </c>
      <c r="H154" s="164">
        <f>F154/E154*100</f>
        <v>66.82222222222222</v>
      </c>
      <c r="I154" s="165">
        <f>F154-D154</f>
        <v>-99.86</v>
      </c>
      <c r="J154" s="165">
        <f>F154/D154*100</f>
        <v>37.5875</v>
      </c>
      <c r="K154" s="165"/>
      <c r="L154" s="165"/>
      <c r="M154" s="165"/>
      <c r="N154" s="165">
        <v>226.72</v>
      </c>
      <c r="O154" s="165">
        <f>D154-N154</f>
        <v>-66.72</v>
      </c>
      <c r="P154" s="218">
        <f>D154/N154</f>
        <v>0.7057163020465773</v>
      </c>
      <c r="Q154" s="165">
        <v>158.93</v>
      </c>
      <c r="R154" s="165">
        <f>F154-Q154</f>
        <v>-98.79</v>
      </c>
      <c r="S154" s="218">
        <f>F154/Q154</f>
        <v>0.37840558736550683</v>
      </c>
      <c r="T154" s="157">
        <f>E154-серпень!E154</f>
        <v>90</v>
      </c>
      <c r="U154" s="160">
        <f>F154-серпень!F154</f>
        <v>60.14</v>
      </c>
      <c r="V154" s="161">
        <f>U154-T154</f>
        <v>-29.86</v>
      </c>
      <c r="W154" s="165">
        <f>U154/T154</f>
        <v>0.6682222222222223</v>
      </c>
      <c r="X154" s="37">
        <v>0</v>
      </c>
      <c r="Y154" s="37" t="e">
        <f>#N/A</f>
        <v>#N/A</v>
      </c>
      <c r="Z154" s="363">
        <f>S154-P154</f>
        <v>-0.3273107146810705</v>
      </c>
    </row>
    <row r="155" spans="4:26" ht="15" hidden="1">
      <c r="D155" s="29">
        <f>D153+D154</f>
        <v>7510</v>
      </c>
      <c r="E155" s="29">
        <f>E153+E154</f>
        <v>6490</v>
      </c>
      <c r="F155" s="29">
        <f>F153+F154</f>
        <v>6821.700000000001</v>
      </c>
      <c r="G155" s="25">
        <f>F155-E155</f>
        <v>331.7000000000007</v>
      </c>
      <c r="H155" s="230">
        <f>F155/E155</f>
        <v>1.051109399075501</v>
      </c>
      <c r="I155" s="29">
        <f>F155-D155</f>
        <v>-688.2999999999993</v>
      </c>
      <c r="J155" s="230">
        <f>F155/D155</f>
        <v>0.9083488681757658</v>
      </c>
      <c r="N155" s="29">
        <f>N153+N154</f>
        <v>6751.88</v>
      </c>
      <c r="O155" s="29">
        <f>D155-N155</f>
        <v>758.1199999999999</v>
      </c>
      <c r="P155" s="230">
        <f>D155/N155</f>
        <v>1.112282801234619</v>
      </c>
      <c r="Q155" s="29">
        <f>Q153+Q154</f>
        <v>5313.06</v>
      </c>
      <c r="R155" s="29">
        <f>F155-Q155</f>
        <v>1508.6400000000003</v>
      </c>
      <c r="S155" s="230">
        <f>F155/Q155</f>
        <v>1.2839493625142573</v>
      </c>
      <c r="Z155" s="363">
        <f>S155-P155</f>
        <v>0.1716665612796382</v>
      </c>
    </row>
    <row r="156" ht="15" hidden="1"/>
    <row r="157" ht="15" hidden="1"/>
    <row r="158" ht="15" hidden="1"/>
  </sheetData>
  <sheetProtection/>
  <mergeCells count="35">
    <mergeCell ref="G98:H98"/>
    <mergeCell ref="B99:C99"/>
    <mergeCell ref="G99:H99"/>
    <mergeCell ref="U101:V101"/>
    <mergeCell ref="G94:H94"/>
    <mergeCell ref="U94:V94"/>
    <mergeCell ref="G95:H95"/>
    <mergeCell ref="U95:V95"/>
    <mergeCell ref="G96:H96"/>
    <mergeCell ref="B97:C97"/>
    <mergeCell ref="G97:H97"/>
    <mergeCell ref="V4:V5"/>
    <mergeCell ref="W4:W5"/>
    <mergeCell ref="Q5:S5"/>
    <mergeCell ref="X5:Y5"/>
    <mergeCell ref="G92:J92"/>
    <mergeCell ref="U93:V93"/>
    <mergeCell ref="F4:F5"/>
    <mergeCell ref="G4:G5"/>
    <mergeCell ref="H4:H5"/>
    <mergeCell ref="I4:I5"/>
    <mergeCell ref="J4:J5"/>
    <mergeCell ref="U4:U5"/>
    <mergeCell ref="N5:P5"/>
    <mergeCell ref="K5:M5"/>
    <mergeCell ref="A1:W1"/>
    <mergeCell ref="B2:D2"/>
    <mergeCell ref="A3:A5"/>
    <mergeCell ref="B3:B5"/>
    <mergeCell ref="C3:C5"/>
    <mergeCell ref="D3:D5"/>
    <mergeCell ref="F3:J3"/>
    <mergeCell ref="T3:T5"/>
    <mergeCell ref="U3:Y3"/>
    <mergeCell ref="E4:E5"/>
  </mergeCells>
  <printOptions/>
  <pageMargins left="0.31496062992125984" right="0.11811023622047245" top="0.15748031496062992" bottom="0.15748031496062992" header="0" footer="0"/>
  <pageSetup fitToHeight="3" fitToWidth="1" orientation="portrait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4"/>
  <sheetViews>
    <sheetView zoomScale="68" zoomScaleNormal="68" zoomScalePageLayoutView="0" workbookViewId="0" topLeftCell="B1">
      <pane xSplit="2" ySplit="8" topLeftCell="D86" activePane="bottomRight" state="frozen"/>
      <selection pane="topLeft" activeCell="B1" sqref="B1"/>
      <selection pane="topRight" activeCell="D1" sqref="D1"/>
      <selection pane="bottomLeft" activeCell="B9" sqref="B9"/>
      <selection pane="bottomRight" activeCell="K91" sqref="K91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9" width="11.00390625" style="4" hidden="1" customWidth="1"/>
    <col min="20" max="16384" width="9.125" style="4" customWidth="1"/>
  </cols>
  <sheetData>
    <row r="1" spans="1:19" s="1" customFormat="1" ht="26.25" customHeight="1">
      <c r="A1" s="396" t="s">
        <v>233</v>
      </c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  <c r="M1" s="396"/>
      <c r="N1" s="396"/>
      <c r="O1" s="396"/>
      <c r="P1" s="396"/>
      <c r="Q1" s="396"/>
      <c r="R1" s="86"/>
      <c r="S1" s="86"/>
    </row>
    <row r="2" spans="2:19" s="1" customFormat="1" ht="15.75" customHeight="1">
      <c r="B2" s="397"/>
      <c r="C2" s="397"/>
      <c r="D2" s="397"/>
      <c r="E2" s="2"/>
      <c r="F2" s="112"/>
      <c r="G2" s="2"/>
      <c r="H2" s="2"/>
      <c r="M2" s="1" t="s">
        <v>24</v>
      </c>
      <c r="Q2" s="17" t="s">
        <v>24</v>
      </c>
      <c r="R2" s="17"/>
      <c r="S2" s="17"/>
    </row>
    <row r="3" spans="1:19" s="3" customFormat="1" ht="13.5" customHeight="1">
      <c r="A3" s="398"/>
      <c r="B3" s="400"/>
      <c r="C3" s="401" t="s">
        <v>0</v>
      </c>
      <c r="D3" s="402" t="s">
        <v>150</v>
      </c>
      <c r="E3" s="32"/>
      <c r="F3" s="403" t="s">
        <v>26</v>
      </c>
      <c r="G3" s="404"/>
      <c r="H3" s="404"/>
      <c r="I3" s="404"/>
      <c r="J3" s="405"/>
      <c r="K3" s="83"/>
      <c r="L3" s="83"/>
      <c r="M3" s="83"/>
      <c r="N3" s="406" t="s">
        <v>230</v>
      </c>
      <c r="O3" s="409" t="s">
        <v>235</v>
      </c>
      <c r="P3" s="409"/>
      <c r="Q3" s="409"/>
      <c r="R3" s="409"/>
      <c r="S3" s="409"/>
    </row>
    <row r="4" spans="1:19" ht="22.5" customHeight="1">
      <c r="A4" s="398"/>
      <c r="B4" s="400"/>
      <c r="C4" s="401"/>
      <c r="D4" s="402"/>
      <c r="E4" s="392" t="s">
        <v>227</v>
      </c>
      <c r="F4" s="422" t="s">
        <v>33</v>
      </c>
      <c r="G4" s="410" t="s">
        <v>228</v>
      </c>
      <c r="H4" s="407" t="s">
        <v>229</v>
      </c>
      <c r="I4" s="410" t="s">
        <v>138</v>
      </c>
      <c r="J4" s="407" t="s">
        <v>139</v>
      </c>
      <c r="K4" s="85" t="s">
        <v>141</v>
      </c>
      <c r="L4" s="204" t="s">
        <v>113</v>
      </c>
      <c r="M4" s="90" t="s">
        <v>63</v>
      </c>
      <c r="N4" s="407"/>
      <c r="O4" s="394" t="s">
        <v>234</v>
      </c>
      <c r="P4" s="410" t="s">
        <v>49</v>
      </c>
      <c r="Q4" s="412" t="s">
        <v>48</v>
      </c>
      <c r="R4" s="91" t="s">
        <v>64</v>
      </c>
      <c r="S4" s="91"/>
    </row>
    <row r="5" spans="1:19" ht="67.5" customHeight="1">
      <c r="A5" s="399"/>
      <c r="B5" s="400"/>
      <c r="C5" s="401"/>
      <c r="D5" s="402"/>
      <c r="E5" s="393"/>
      <c r="F5" s="423"/>
      <c r="G5" s="411"/>
      <c r="H5" s="408"/>
      <c r="I5" s="411"/>
      <c r="J5" s="408"/>
      <c r="K5" s="413" t="s">
        <v>231</v>
      </c>
      <c r="L5" s="414"/>
      <c r="M5" s="415"/>
      <c r="N5" s="408"/>
      <c r="O5" s="395"/>
      <c r="P5" s="411"/>
      <c r="Q5" s="412"/>
      <c r="R5" s="434" t="s">
        <v>215</v>
      </c>
      <c r="S5" s="435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0"/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10"/>
    </row>
    <row r="8" spans="1:19" s="6" customFormat="1" ht="17.25">
      <c r="A8" s="7"/>
      <c r="B8" s="154" t="s">
        <v>9</v>
      </c>
      <c r="C8" s="70" t="s">
        <v>10</v>
      </c>
      <c r="D8" s="151">
        <f>D9+D15+D18+D19+D23+D17</f>
        <v>1298451.1</v>
      </c>
      <c r="E8" s="151">
        <f>E9+E15+E18+E19+E23+E17</f>
        <v>845811.2</v>
      </c>
      <c r="F8" s="151">
        <f>F9+F15+F18+F19+F23+F17</f>
        <v>838073.4800000001</v>
      </c>
      <c r="G8" s="151">
        <f>F8-E8</f>
        <v>-7737.719999999856</v>
      </c>
      <c r="H8" s="152">
        <f>F8/E8*100</f>
        <v>99.08517172626706</v>
      </c>
      <c r="I8" s="153">
        <f aca="true" t="shared" si="0" ref="I8:I15">F8-D8</f>
        <v>-460377.62</v>
      </c>
      <c r="J8" s="153">
        <f aca="true" t="shared" si="1" ref="J8:J15">F8/D8*100</f>
        <v>64.54409257306648</v>
      </c>
      <c r="K8" s="151">
        <v>633520.83</v>
      </c>
      <c r="L8" s="151">
        <f aca="true" t="shared" si="2" ref="L8:L25">F8-K8</f>
        <v>204552.65000000014</v>
      </c>
      <c r="M8" s="205">
        <f aca="true" t="shared" si="3" ref="M8:M20">F8/K8</f>
        <v>1.3228822799717574</v>
      </c>
      <c r="N8" s="151">
        <f>N9+N15+N18+N19+N23+N17</f>
        <v>118471</v>
      </c>
      <c r="O8" s="151">
        <f>O9+O15+O18+O19+O23+O17</f>
        <v>112500.43000000008</v>
      </c>
      <c r="P8" s="151">
        <f>O8-N8</f>
        <v>-5970.56999999992</v>
      </c>
      <c r="Q8" s="151">
        <f aca="true" t="shared" si="4" ref="Q8:Q16">O8/N8*100</f>
        <v>94.96031096217646</v>
      </c>
      <c r="R8" s="15">
        <f>R9+R15+R18+R19+R23</f>
        <v>102514</v>
      </c>
      <c r="S8" s="15">
        <f>O8-R8</f>
        <v>9986.43000000008</v>
      </c>
    </row>
    <row r="9" spans="1:19" s="6" customFormat="1" ht="18">
      <c r="A9" s="8"/>
      <c r="B9" s="13" t="s">
        <v>79</v>
      </c>
      <c r="C9" s="43">
        <v>11010000</v>
      </c>
      <c r="D9" s="150">
        <v>766645</v>
      </c>
      <c r="E9" s="150">
        <f>416540+64700</f>
        <v>481240</v>
      </c>
      <c r="F9" s="156">
        <v>484780.28</v>
      </c>
      <c r="G9" s="150">
        <f>F9-E9</f>
        <v>3540.280000000028</v>
      </c>
      <c r="H9" s="157">
        <f>F9/E9*100</f>
        <v>100.73565788380019</v>
      </c>
      <c r="I9" s="158">
        <f t="shared" si="0"/>
        <v>-281864.72</v>
      </c>
      <c r="J9" s="158">
        <f t="shared" si="1"/>
        <v>63.23399748253755</v>
      </c>
      <c r="K9" s="227">
        <v>339918.36</v>
      </c>
      <c r="L9" s="159">
        <f t="shared" si="2"/>
        <v>144861.92000000004</v>
      </c>
      <c r="M9" s="206">
        <f t="shared" si="3"/>
        <v>1.426166800757688</v>
      </c>
      <c r="N9" s="157">
        <f>E9-липень!E9</f>
        <v>64700</v>
      </c>
      <c r="O9" s="160">
        <f>F9-липень!F9</f>
        <v>65137.23000000004</v>
      </c>
      <c r="P9" s="161">
        <f>O9-N9</f>
        <v>437.2300000000396</v>
      </c>
      <c r="Q9" s="158">
        <f t="shared" si="4"/>
        <v>100.67578052550239</v>
      </c>
      <c r="R9" s="100">
        <v>71000</v>
      </c>
      <c r="S9" s="100">
        <f>O9-R9</f>
        <v>-5862.76999999996</v>
      </c>
    </row>
    <row r="10" spans="1:19" s="6" customFormat="1" ht="15" customHeight="1" hidden="1">
      <c r="A10" s="8"/>
      <c r="B10" s="121" t="s">
        <v>89</v>
      </c>
      <c r="C10" s="102">
        <v>11010100</v>
      </c>
      <c r="D10" s="103">
        <v>701317</v>
      </c>
      <c r="E10" s="103">
        <v>437902</v>
      </c>
      <c r="F10" s="140">
        <v>443777.53</v>
      </c>
      <c r="G10" s="103">
        <f aca="true" t="shared" si="5" ref="G10:G35">F10-E10</f>
        <v>5875.530000000028</v>
      </c>
      <c r="H10" s="105">
        <f aca="true" t="shared" si="6" ref="H10:H15">F10/E10*100</f>
        <v>101.34174541335734</v>
      </c>
      <c r="I10" s="104">
        <f t="shared" si="0"/>
        <v>-257539.46999999997</v>
      </c>
      <c r="J10" s="104">
        <f t="shared" si="1"/>
        <v>63.2777374568134</v>
      </c>
      <c r="K10" s="106">
        <v>298673.41</v>
      </c>
      <c r="L10" s="106">
        <f t="shared" si="2"/>
        <v>145104.12000000005</v>
      </c>
      <c r="M10" s="207">
        <f t="shared" si="3"/>
        <v>1.4858287183984675</v>
      </c>
      <c r="N10" s="105">
        <f>E10-липень!E10</f>
        <v>59294</v>
      </c>
      <c r="O10" s="144">
        <f>F10-липень!F10</f>
        <v>59693.27000000002</v>
      </c>
      <c r="P10" s="106">
        <f aca="true" t="shared" si="7" ref="P10:P35">O10-N10</f>
        <v>399.2700000000186</v>
      </c>
      <c r="Q10" s="104">
        <f t="shared" si="4"/>
        <v>100.67337335986781</v>
      </c>
      <c r="R10" s="37"/>
      <c r="S10" s="100">
        <f>#N/A</f>
        <v>0</v>
      </c>
    </row>
    <row r="11" spans="1:19" s="6" customFormat="1" ht="15" customHeight="1" hidden="1">
      <c r="A11" s="8"/>
      <c r="B11" s="121" t="s">
        <v>85</v>
      </c>
      <c r="C11" s="102">
        <v>11010200</v>
      </c>
      <c r="D11" s="103">
        <v>46506</v>
      </c>
      <c r="E11" s="103">
        <v>30180</v>
      </c>
      <c r="F11" s="140">
        <v>26169.54</v>
      </c>
      <c r="G11" s="103">
        <f t="shared" si="5"/>
        <v>-4010.459999999999</v>
      </c>
      <c r="H11" s="105">
        <f t="shared" si="6"/>
        <v>86.71153081510936</v>
      </c>
      <c r="I11" s="104">
        <f t="shared" si="0"/>
        <v>-20336.46</v>
      </c>
      <c r="J11" s="104">
        <f t="shared" si="1"/>
        <v>56.271319829699394</v>
      </c>
      <c r="K11" s="106">
        <v>24998.93</v>
      </c>
      <c r="L11" s="106">
        <f t="shared" si="2"/>
        <v>1170.6100000000006</v>
      </c>
      <c r="M11" s="207">
        <f t="shared" si="3"/>
        <v>1.0468264041700985</v>
      </c>
      <c r="N11" s="105">
        <f>E11-липень!E11</f>
        <v>3900</v>
      </c>
      <c r="O11" s="144">
        <f>F11-липень!F11</f>
        <v>3540.459999999999</v>
      </c>
      <c r="P11" s="106">
        <f t="shared" si="7"/>
        <v>-359.5400000000009</v>
      </c>
      <c r="Q11" s="104">
        <f t="shared" si="4"/>
        <v>90.78102564102562</v>
      </c>
      <c r="R11" s="37"/>
      <c r="S11" s="100">
        <f>#N/A</f>
        <v>0</v>
      </c>
    </row>
    <row r="12" spans="1:19" s="6" customFormat="1" ht="15" customHeight="1" hidden="1">
      <c r="A12" s="8"/>
      <c r="B12" s="121" t="s">
        <v>88</v>
      </c>
      <c r="C12" s="102">
        <v>11010400</v>
      </c>
      <c r="D12" s="103">
        <v>8280</v>
      </c>
      <c r="E12" s="103">
        <v>5280</v>
      </c>
      <c r="F12" s="140">
        <v>6628.28</v>
      </c>
      <c r="G12" s="103">
        <f t="shared" si="5"/>
        <v>1348.2799999999997</v>
      </c>
      <c r="H12" s="105">
        <f t="shared" si="6"/>
        <v>125.53560606060606</v>
      </c>
      <c r="I12" s="104">
        <f t="shared" si="0"/>
        <v>-1651.7200000000003</v>
      </c>
      <c r="J12" s="104">
        <f t="shared" si="1"/>
        <v>80.05169082125605</v>
      </c>
      <c r="K12" s="106">
        <v>6686.39</v>
      </c>
      <c r="L12" s="106">
        <f t="shared" si="2"/>
        <v>-58.11000000000058</v>
      </c>
      <c r="M12" s="207">
        <f t="shared" si="3"/>
        <v>0.9913092116971938</v>
      </c>
      <c r="N12" s="105">
        <f>E12-липень!E12</f>
        <v>840</v>
      </c>
      <c r="O12" s="144">
        <f>F12-липень!F12</f>
        <v>1156.3499999999995</v>
      </c>
      <c r="P12" s="106">
        <f t="shared" si="7"/>
        <v>316.34999999999945</v>
      </c>
      <c r="Q12" s="104">
        <f t="shared" si="4"/>
        <v>137.66071428571422</v>
      </c>
      <c r="R12" s="37"/>
      <c r="S12" s="100">
        <f>#N/A</f>
        <v>0</v>
      </c>
    </row>
    <row r="13" spans="1:19" s="6" customFormat="1" ht="15" customHeight="1" hidden="1">
      <c r="A13" s="8"/>
      <c r="B13" s="121" t="s">
        <v>86</v>
      </c>
      <c r="C13" s="102">
        <v>11010500</v>
      </c>
      <c r="D13" s="103">
        <v>9390</v>
      </c>
      <c r="E13" s="103">
        <v>7110</v>
      </c>
      <c r="F13" s="140">
        <v>7275.46</v>
      </c>
      <c r="G13" s="103">
        <f t="shared" si="5"/>
        <v>165.46000000000004</v>
      </c>
      <c r="H13" s="105">
        <f t="shared" si="6"/>
        <v>102.32714486638537</v>
      </c>
      <c r="I13" s="104">
        <f t="shared" si="0"/>
        <v>-2114.54</v>
      </c>
      <c r="J13" s="104">
        <f t="shared" si="1"/>
        <v>77.48093716719914</v>
      </c>
      <c r="K13" s="106">
        <v>7017.25</v>
      </c>
      <c r="L13" s="106">
        <f t="shared" si="2"/>
        <v>258.21000000000004</v>
      </c>
      <c r="M13" s="207">
        <f t="shared" si="3"/>
        <v>1.0367964658520075</v>
      </c>
      <c r="N13" s="105">
        <f>E13-липень!E13</f>
        <v>570</v>
      </c>
      <c r="O13" s="144">
        <f>F13-липень!F13</f>
        <v>638.5200000000004</v>
      </c>
      <c r="P13" s="106">
        <f t="shared" si="7"/>
        <v>68.52000000000044</v>
      </c>
      <c r="Q13" s="104">
        <f t="shared" si="4"/>
        <v>112.02105263157902</v>
      </c>
      <c r="R13" s="37"/>
      <c r="S13" s="100">
        <f>#N/A</f>
        <v>0</v>
      </c>
    </row>
    <row r="14" spans="1:19" s="6" customFormat="1" ht="15" customHeight="1" hidden="1">
      <c r="A14" s="8"/>
      <c r="B14" s="121" t="s">
        <v>87</v>
      </c>
      <c r="C14" s="102">
        <v>11010900</v>
      </c>
      <c r="D14" s="103">
        <v>1152</v>
      </c>
      <c r="E14" s="103">
        <v>768</v>
      </c>
      <c r="F14" s="140">
        <v>929.47</v>
      </c>
      <c r="G14" s="103">
        <f t="shared" si="5"/>
        <v>161.47000000000003</v>
      </c>
      <c r="H14" s="105">
        <f t="shared" si="6"/>
        <v>121.02473958333333</v>
      </c>
      <c r="I14" s="104">
        <f t="shared" si="0"/>
        <v>-222.52999999999997</v>
      </c>
      <c r="J14" s="104">
        <f t="shared" si="1"/>
        <v>80.68315972222221</v>
      </c>
      <c r="K14" s="106">
        <v>2542.38</v>
      </c>
      <c r="L14" s="106">
        <f t="shared" si="2"/>
        <v>-1612.91</v>
      </c>
      <c r="M14" s="207">
        <f t="shared" si="3"/>
        <v>0.36559050967990625</v>
      </c>
      <c r="N14" s="105">
        <f>E14-липень!E14</f>
        <v>96</v>
      </c>
      <c r="O14" s="144">
        <f>F14-липень!F14</f>
        <v>108.63999999999999</v>
      </c>
      <c r="P14" s="106">
        <f t="shared" si="7"/>
        <v>12.639999999999986</v>
      </c>
      <c r="Q14" s="104">
        <f t="shared" si="4"/>
        <v>113.16666666666666</v>
      </c>
      <c r="R14" s="37"/>
      <c r="S14" s="100">
        <f>#N/A</f>
        <v>0</v>
      </c>
    </row>
    <row r="15" spans="1:19" s="6" customFormat="1" ht="30.75">
      <c r="A15" s="8"/>
      <c r="B15" s="12" t="s">
        <v>11</v>
      </c>
      <c r="C15" s="43">
        <v>11020200</v>
      </c>
      <c r="D15" s="150">
        <v>551</v>
      </c>
      <c r="E15" s="150">
        <f>341+110</f>
        <v>451</v>
      </c>
      <c r="F15" s="156">
        <v>325.81</v>
      </c>
      <c r="G15" s="150">
        <f t="shared" si="5"/>
        <v>-125.19</v>
      </c>
      <c r="H15" s="157">
        <f t="shared" si="6"/>
        <v>72.24168514412416</v>
      </c>
      <c r="I15" s="158">
        <f t="shared" si="0"/>
        <v>-225.19</v>
      </c>
      <c r="J15" s="158">
        <f t="shared" si="1"/>
        <v>59.13067150635209</v>
      </c>
      <c r="K15" s="161">
        <v>385.26</v>
      </c>
      <c r="L15" s="161">
        <f t="shared" si="2"/>
        <v>-59.44999999999999</v>
      </c>
      <c r="M15" s="208">
        <f t="shared" si="3"/>
        <v>0.8456886258630536</v>
      </c>
      <c r="N15" s="157">
        <f>E15-липень!E15</f>
        <v>110</v>
      </c>
      <c r="O15" s="160">
        <f>F15-липень!F15</f>
        <v>280.82</v>
      </c>
      <c r="P15" s="161">
        <f t="shared" si="7"/>
        <v>170.82</v>
      </c>
      <c r="Q15" s="158">
        <f t="shared" si="4"/>
        <v>255.2909090909091</v>
      </c>
      <c r="R15" s="37">
        <v>0</v>
      </c>
      <c r="S15" s="100">
        <f>#N/A</f>
        <v>0</v>
      </c>
    </row>
    <row r="16" spans="1:19" s="6" customFormat="1" ht="18" customHeight="1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150">
        <f t="shared" si="5"/>
        <v>0</v>
      </c>
      <c r="H16" s="157" t="e">
        <f>F16/E16/100</f>
        <v>#DIV/0!</v>
      </c>
      <c r="I16" s="158">
        <f aca="true" t="shared" si="8" ref="I16:I39">F16-D16</f>
        <v>0</v>
      </c>
      <c r="J16" s="158" t="e">
        <f aca="true" t="shared" si="9" ref="J16:J39">F16/D16*100</f>
        <v>#DIV/0!</v>
      </c>
      <c r="K16" s="106">
        <v>0</v>
      </c>
      <c r="L16" s="161">
        <f t="shared" si="2"/>
        <v>0</v>
      </c>
      <c r="M16" s="208" t="e">
        <f t="shared" si="3"/>
        <v>#DIV/0!</v>
      </c>
      <c r="N16" s="157">
        <f>E16-липень!E16</f>
        <v>0</v>
      </c>
      <c r="O16" s="160">
        <f>F16-липень!F16</f>
        <v>0</v>
      </c>
      <c r="P16" s="161">
        <f t="shared" si="7"/>
        <v>0</v>
      </c>
      <c r="Q16" s="158" t="e">
        <f t="shared" si="4"/>
        <v>#DIV/0!</v>
      </c>
      <c r="R16" s="104">
        <f>O16-358.81</f>
        <v>-358.81</v>
      </c>
      <c r="S16" s="100">
        <f>#N/A</f>
        <v>358.81</v>
      </c>
    </row>
    <row r="17" spans="1:19" s="6" customFormat="1" ht="30.75" customHeight="1">
      <c r="A17" s="8"/>
      <c r="B17" s="225" t="s">
        <v>116</v>
      </c>
      <c r="C17" s="120">
        <v>13010200</v>
      </c>
      <c r="D17" s="162">
        <v>0</v>
      </c>
      <c r="E17" s="162">
        <v>0</v>
      </c>
      <c r="F17" s="163">
        <v>0.49</v>
      </c>
      <c r="G17" s="150">
        <f t="shared" si="5"/>
        <v>0.49</v>
      </c>
      <c r="H17" s="157"/>
      <c r="I17" s="158">
        <f t="shared" si="8"/>
        <v>0.49</v>
      </c>
      <c r="J17" s="158"/>
      <c r="K17" s="167">
        <v>0.17</v>
      </c>
      <c r="L17" s="161">
        <f t="shared" si="2"/>
        <v>0.31999999999999995</v>
      </c>
      <c r="M17" s="208">
        <f t="shared" si="3"/>
        <v>2.88235294117647</v>
      </c>
      <c r="N17" s="157">
        <f>E17-липень!E17</f>
        <v>0</v>
      </c>
      <c r="O17" s="160">
        <f>F17-липень!F17</f>
        <v>0</v>
      </c>
      <c r="P17" s="161">
        <f t="shared" si="7"/>
        <v>0</v>
      </c>
      <c r="Q17" s="158"/>
      <c r="R17" s="104"/>
      <c r="S17" s="100">
        <f>#N/A</f>
        <v>0</v>
      </c>
    </row>
    <row r="18" spans="1:19" s="6" customFormat="1" ht="30.75">
      <c r="A18" s="8"/>
      <c r="B18" s="13" t="s">
        <v>117</v>
      </c>
      <c r="C18" s="43" t="s">
        <v>58</v>
      </c>
      <c r="D18" s="150">
        <v>125</v>
      </c>
      <c r="E18" s="150">
        <v>90</v>
      </c>
      <c r="F18" s="156">
        <v>147.46</v>
      </c>
      <c r="G18" s="150">
        <f t="shared" si="5"/>
        <v>57.46000000000001</v>
      </c>
      <c r="H18" s="157">
        <f>F18/E18*100</f>
        <v>163.84444444444446</v>
      </c>
      <c r="I18" s="158">
        <f t="shared" si="8"/>
        <v>22.460000000000008</v>
      </c>
      <c r="J18" s="158">
        <f t="shared" si="9"/>
        <v>117.968</v>
      </c>
      <c r="K18" s="161">
        <v>105.8</v>
      </c>
      <c r="L18" s="161">
        <f t="shared" si="2"/>
        <v>41.66000000000001</v>
      </c>
      <c r="M18" s="208">
        <f t="shared" si="3"/>
        <v>1.3937618147448017</v>
      </c>
      <c r="N18" s="157">
        <f>E18-липень!E18</f>
        <v>20</v>
      </c>
      <c r="O18" s="160">
        <f>F18-липень!F18</f>
        <v>29.000000000000014</v>
      </c>
      <c r="P18" s="161">
        <f t="shared" si="7"/>
        <v>9.000000000000014</v>
      </c>
      <c r="Q18" s="158">
        <f aca="true" t="shared" si="10" ref="Q18:Q24">O18/N18*100</f>
        <v>145.00000000000006</v>
      </c>
      <c r="R18" s="37">
        <v>0</v>
      </c>
      <c r="S18" s="100">
        <f>#N/A</f>
        <v>29.040000000000006</v>
      </c>
    </row>
    <row r="19" spans="1:19" s="6" customFormat="1" ht="18">
      <c r="A19" s="8"/>
      <c r="B19" s="13" t="s">
        <v>172</v>
      </c>
      <c r="C19" s="43"/>
      <c r="D19" s="150">
        <f>D20+D21+D22</f>
        <v>130000</v>
      </c>
      <c r="E19" s="150">
        <f>E20+E21+E22</f>
        <v>83000</v>
      </c>
      <c r="F19" s="223">
        <v>64718.53</v>
      </c>
      <c r="G19" s="150">
        <f t="shared" si="5"/>
        <v>-18281.47</v>
      </c>
      <c r="H19" s="157">
        <f aca="true" t="shared" si="11" ref="H19:H39">F19/E19*100</f>
        <v>77.97413253012047</v>
      </c>
      <c r="I19" s="158">
        <f t="shared" si="8"/>
        <v>-65281.47</v>
      </c>
      <c r="J19" s="158">
        <f t="shared" si="9"/>
        <v>49.783484615384616</v>
      </c>
      <c r="K19" s="161">
        <v>64436.28</v>
      </c>
      <c r="L19" s="161">
        <f t="shared" si="2"/>
        <v>282.25</v>
      </c>
      <c r="M19" s="213">
        <f t="shared" si="3"/>
        <v>1.0043802963175403</v>
      </c>
      <c r="N19" s="157">
        <f>E19-липень!E19</f>
        <v>11900</v>
      </c>
      <c r="O19" s="160">
        <f>F19-липень!F19</f>
        <v>5318.199999999997</v>
      </c>
      <c r="P19" s="161">
        <f t="shared" si="7"/>
        <v>-6581.800000000003</v>
      </c>
      <c r="Q19" s="158">
        <f t="shared" si="10"/>
        <v>44.69075630252098</v>
      </c>
      <c r="R19" s="294">
        <v>8800</v>
      </c>
      <c r="S19" s="100">
        <f>#N/A</f>
        <v>-8791.630000000005</v>
      </c>
    </row>
    <row r="20" spans="1:19" s="6" customFormat="1" ht="61.5">
      <c r="A20" s="8"/>
      <c r="B20" s="252" t="s">
        <v>205</v>
      </c>
      <c r="C20" s="123">
        <v>14040000</v>
      </c>
      <c r="D20" s="253">
        <v>76500</v>
      </c>
      <c r="E20" s="253">
        <f>42450+6950</f>
        <v>49400</v>
      </c>
      <c r="F20" s="201">
        <v>41666.15</v>
      </c>
      <c r="G20" s="253">
        <f t="shared" si="5"/>
        <v>-7733.8499999999985</v>
      </c>
      <c r="H20" s="195">
        <f t="shared" si="11"/>
        <v>84.34443319838057</v>
      </c>
      <c r="I20" s="254">
        <f t="shared" si="8"/>
        <v>-34833.85</v>
      </c>
      <c r="J20" s="254">
        <f t="shared" si="9"/>
        <v>54.465555555555554</v>
      </c>
      <c r="K20" s="166">
        <v>64436.28</v>
      </c>
      <c r="L20" s="166">
        <f t="shared" si="2"/>
        <v>-22770.129999999997</v>
      </c>
      <c r="M20" s="256">
        <f t="shared" si="3"/>
        <v>0.6466256276743475</v>
      </c>
      <c r="N20" s="195">
        <f>E20-липень!E20</f>
        <v>6950</v>
      </c>
      <c r="O20" s="179">
        <f>F20-липень!F20</f>
        <v>5318.190000000002</v>
      </c>
      <c r="P20" s="166">
        <f t="shared" si="7"/>
        <v>-1631.8099999999977</v>
      </c>
      <c r="Q20" s="254">
        <f t="shared" si="10"/>
        <v>76.52071942446047</v>
      </c>
      <c r="R20" s="104">
        <v>4450</v>
      </c>
      <c r="S20" s="104">
        <f>#N/A</f>
        <v>-4441.699999999997</v>
      </c>
    </row>
    <row r="21" spans="1:19" s="6" customFormat="1" ht="18">
      <c r="A21" s="8"/>
      <c r="B21" s="252" t="s">
        <v>170</v>
      </c>
      <c r="C21" s="123">
        <v>14021900</v>
      </c>
      <c r="D21" s="253">
        <v>10700</v>
      </c>
      <c r="E21" s="253">
        <f>5850+950</f>
        <v>6800</v>
      </c>
      <c r="F21" s="201">
        <v>4942.32</v>
      </c>
      <c r="G21" s="253">
        <f t="shared" si="5"/>
        <v>-1857.6800000000003</v>
      </c>
      <c r="H21" s="195">
        <f t="shared" si="11"/>
        <v>72.68117647058823</v>
      </c>
      <c r="I21" s="254">
        <f t="shared" si="8"/>
        <v>-5757.68</v>
      </c>
      <c r="J21" s="254">
        <f t="shared" si="9"/>
        <v>46.18990654205607</v>
      </c>
      <c r="K21" s="255">
        <v>0</v>
      </c>
      <c r="L21" s="166">
        <f t="shared" si="2"/>
        <v>4942.32</v>
      </c>
      <c r="M21" s="256"/>
      <c r="N21" s="195">
        <f>E21-липень!E21</f>
        <v>950</v>
      </c>
      <c r="O21" s="179">
        <f>F21-липень!F21</f>
        <v>0</v>
      </c>
      <c r="P21" s="166">
        <f t="shared" si="7"/>
        <v>-950</v>
      </c>
      <c r="Q21" s="254">
        <f t="shared" si="10"/>
        <v>0</v>
      </c>
      <c r="R21" s="104">
        <v>900</v>
      </c>
      <c r="S21" s="104">
        <f>#N/A</f>
        <v>-900</v>
      </c>
    </row>
    <row r="22" spans="1:19" s="6" customFormat="1" ht="18">
      <c r="A22" s="8"/>
      <c r="B22" s="252" t="s">
        <v>171</v>
      </c>
      <c r="C22" s="123">
        <v>14031900</v>
      </c>
      <c r="D22" s="253">
        <v>42800</v>
      </c>
      <c r="E22" s="253">
        <f>22800+4000</f>
        <v>26800</v>
      </c>
      <c r="F22" s="201">
        <v>18110.05</v>
      </c>
      <c r="G22" s="253">
        <f t="shared" si="5"/>
        <v>-8689.95</v>
      </c>
      <c r="H22" s="195">
        <f t="shared" si="11"/>
        <v>67.57481343283582</v>
      </c>
      <c r="I22" s="254">
        <f t="shared" si="8"/>
        <v>-24689.95</v>
      </c>
      <c r="J22" s="254">
        <f t="shared" si="9"/>
        <v>42.313200934579434</v>
      </c>
      <c r="K22" s="255">
        <v>0</v>
      </c>
      <c r="L22" s="166">
        <f t="shared" si="2"/>
        <v>18110.05</v>
      </c>
      <c r="M22" s="256"/>
      <c r="N22" s="195">
        <f>E22-липень!E22</f>
        <v>4000</v>
      </c>
      <c r="O22" s="179">
        <f>F22-липень!F22</f>
        <v>0</v>
      </c>
      <c r="P22" s="166">
        <f t="shared" si="7"/>
        <v>-4000</v>
      </c>
      <c r="Q22" s="254">
        <f t="shared" si="10"/>
        <v>0</v>
      </c>
      <c r="R22" s="104">
        <v>3800</v>
      </c>
      <c r="S22" s="104">
        <f>#N/A</f>
        <v>-3800</v>
      </c>
    </row>
    <row r="23" spans="1:19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281030.2</v>
      </c>
      <c r="F23" s="223">
        <f>F24+F32+F33+F34+F35</f>
        <v>288100.91000000003</v>
      </c>
      <c r="G23" s="150">
        <f t="shared" si="5"/>
        <v>7070.710000000021</v>
      </c>
      <c r="H23" s="157">
        <f t="shared" si="11"/>
        <v>102.51599650144362</v>
      </c>
      <c r="I23" s="158">
        <f t="shared" si="8"/>
        <v>-113029.18999999994</v>
      </c>
      <c r="J23" s="158">
        <f t="shared" si="9"/>
        <v>71.82231151439396</v>
      </c>
      <c r="K23" s="158">
        <v>228674.96</v>
      </c>
      <c r="L23" s="161">
        <f t="shared" si="2"/>
        <v>59425.95000000004</v>
      </c>
      <c r="M23" s="209">
        <f aca="true" t="shared" si="12" ref="M23:M31">F23/K23</f>
        <v>1.2598708227608306</v>
      </c>
      <c r="N23" s="157">
        <f>E23-липень!E23</f>
        <v>41741</v>
      </c>
      <c r="O23" s="160">
        <f>F23-липень!F23</f>
        <v>41735.18000000005</v>
      </c>
      <c r="P23" s="161">
        <f t="shared" si="7"/>
        <v>-5.819999999948777</v>
      </c>
      <c r="Q23" s="158">
        <f t="shared" si="10"/>
        <v>99.98605687453596</v>
      </c>
      <c r="R23" s="288">
        <f>R24+R33+R35</f>
        <v>22714</v>
      </c>
      <c r="S23" s="294">
        <f>#N/A</f>
        <v>-19726.22999999998</v>
      </c>
    </row>
    <row r="24" spans="1:19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137545.9</v>
      </c>
      <c r="F24" s="223">
        <f>F25+F28+F29</f>
        <v>137155.66</v>
      </c>
      <c r="G24" s="150">
        <f t="shared" si="5"/>
        <v>-390.2399999999907</v>
      </c>
      <c r="H24" s="157">
        <f t="shared" si="11"/>
        <v>99.71628380053495</v>
      </c>
      <c r="I24" s="158">
        <f t="shared" si="8"/>
        <v>-69465.34</v>
      </c>
      <c r="J24" s="158">
        <f t="shared" si="9"/>
        <v>66.38030984265878</v>
      </c>
      <c r="K24" s="158">
        <v>121679.97</v>
      </c>
      <c r="L24" s="161">
        <f t="shared" si="2"/>
        <v>15475.690000000002</v>
      </c>
      <c r="M24" s="209">
        <f t="shared" si="12"/>
        <v>1.1271835454923271</v>
      </c>
      <c r="N24" s="157">
        <f>E24-липень!E24</f>
        <v>17475</v>
      </c>
      <c r="O24" s="160">
        <f>F24-липень!F24</f>
        <v>16520.61</v>
      </c>
      <c r="P24" s="161">
        <f t="shared" si="7"/>
        <v>-954.3899999999994</v>
      </c>
      <c r="Q24" s="158">
        <f t="shared" si="10"/>
        <v>94.53854077253219</v>
      </c>
      <c r="R24" s="293">
        <f>R25+R28+R29</f>
        <v>15007</v>
      </c>
      <c r="S24" s="293">
        <f>#N/A</f>
        <v>-14366.600000000006</v>
      </c>
    </row>
    <row r="25" spans="1:19" s="6" customFormat="1" ht="18">
      <c r="A25" s="8"/>
      <c r="B25" s="50" t="s">
        <v>74</v>
      </c>
      <c r="C25" s="123"/>
      <c r="D25" s="253">
        <v>22809</v>
      </c>
      <c r="E25" s="303">
        <v>16354.1</v>
      </c>
      <c r="F25" s="201">
        <v>16900.15</v>
      </c>
      <c r="G25" s="253">
        <f t="shared" si="5"/>
        <v>546.0500000000011</v>
      </c>
      <c r="H25" s="195">
        <f t="shared" si="11"/>
        <v>103.33891806947494</v>
      </c>
      <c r="I25" s="254">
        <f t="shared" si="8"/>
        <v>-5908.8499999999985</v>
      </c>
      <c r="J25" s="254">
        <f t="shared" si="9"/>
        <v>74.0942171949669</v>
      </c>
      <c r="K25" s="304">
        <v>14873.47</v>
      </c>
      <c r="L25" s="166">
        <f t="shared" si="2"/>
        <v>2026.680000000002</v>
      </c>
      <c r="M25" s="215">
        <f t="shared" si="12"/>
        <v>1.1362614104173405</v>
      </c>
      <c r="N25" s="195">
        <f>E25-липень!E25</f>
        <v>1155</v>
      </c>
      <c r="O25" s="179">
        <f>F25-липень!F25</f>
        <v>1037.7900000000009</v>
      </c>
      <c r="P25" s="166">
        <f t="shared" si="7"/>
        <v>-117.20999999999913</v>
      </c>
      <c r="Q25" s="254">
        <f aca="true" t="shared" si="13" ref="Q25:Q35">O25/N25*100</f>
        <v>89.85194805194813</v>
      </c>
      <c r="R25" s="104">
        <v>800</v>
      </c>
      <c r="S25" s="104">
        <f>#N/A</f>
        <v>-684.5</v>
      </c>
    </row>
    <row r="26" spans="1:19" s="6" customFormat="1" ht="18" customHeight="1" hidden="1">
      <c r="A26" s="8"/>
      <c r="B26" s="196" t="s">
        <v>109</v>
      </c>
      <c r="C26" s="197"/>
      <c r="D26" s="198">
        <v>1822.3</v>
      </c>
      <c r="E26" s="298">
        <v>1265</v>
      </c>
      <c r="F26" s="199">
        <v>822.95</v>
      </c>
      <c r="G26" s="223">
        <f t="shared" si="5"/>
        <v>-442.04999999999995</v>
      </c>
      <c r="H26" s="237">
        <f t="shared" si="11"/>
        <v>65.05533596837945</v>
      </c>
      <c r="I26" s="299">
        <f t="shared" si="8"/>
        <v>-999.3499999999999</v>
      </c>
      <c r="J26" s="299">
        <f t="shared" si="9"/>
        <v>45.15996268451957</v>
      </c>
      <c r="K26" s="200">
        <v>623.64</v>
      </c>
      <c r="L26" s="200">
        <f>K26-F26</f>
        <v>-199.31000000000006</v>
      </c>
      <c r="M26" s="228">
        <f t="shared" si="12"/>
        <v>1.3195914309537555</v>
      </c>
      <c r="N26" s="237">
        <f>E26-липень!E26</f>
        <v>105</v>
      </c>
      <c r="O26" s="237">
        <f>F26-липень!F26</f>
        <v>386.32000000000005</v>
      </c>
      <c r="P26" s="299">
        <f t="shared" si="7"/>
        <v>281.32000000000005</v>
      </c>
      <c r="Q26" s="299">
        <f t="shared" si="13"/>
        <v>367.9238095238096</v>
      </c>
      <c r="R26" s="104"/>
      <c r="S26" s="104">
        <f>#N/A</f>
        <v>0</v>
      </c>
    </row>
    <row r="27" spans="1:19" s="6" customFormat="1" ht="18" customHeight="1" hidden="1">
      <c r="A27" s="8"/>
      <c r="B27" s="196" t="s">
        <v>110</v>
      </c>
      <c r="C27" s="197"/>
      <c r="D27" s="198">
        <v>20986.7</v>
      </c>
      <c r="E27" s="298">
        <v>15089.1</v>
      </c>
      <c r="F27" s="199">
        <v>16077.21</v>
      </c>
      <c r="G27" s="223">
        <f t="shared" si="5"/>
        <v>988.1099999999988</v>
      </c>
      <c r="H27" s="237">
        <f t="shared" si="11"/>
        <v>106.54850189872158</v>
      </c>
      <c r="I27" s="299">
        <f t="shared" si="8"/>
        <v>-4909.490000000002</v>
      </c>
      <c r="J27" s="299">
        <f t="shared" si="9"/>
        <v>76.60666040873505</v>
      </c>
      <c r="K27" s="200">
        <v>14249.83</v>
      </c>
      <c r="L27" s="200">
        <f>K27-F27</f>
        <v>-1827.3799999999992</v>
      </c>
      <c r="M27" s="228">
        <f t="shared" si="12"/>
        <v>1.1282387228479216</v>
      </c>
      <c r="N27" s="237">
        <f>E27-липень!E27</f>
        <v>1050</v>
      </c>
      <c r="O27" s="237">
        <f>F27-липень!F27</f>
        <v>651.4799999999996</v>
      </c>
      <c r="P27" s="299">
        <f t="shared" si="7"/>
        <v>-398.52000000000044</v>
      </c>
      <c r="Q27" s="299">
        <f t="shared" si="13"/>
        <v>62.04571428571425</v>
      </c>
      <c r="R27" s="104"/>
      <c r="S27" s="104">
        <f>#N/A</f>
        <v>0</v>
      </c>
    </row>
    <row r="28" spans="1:19" s="6" customFormat="1" ht="18">
      <c r="A28" s="8"/>
      <c r="B28" s="50" t="s">
        <v>75</v>
      </c>
      <c r="C28" s="123"/>
      <c r="D28" s="171">
        <v>820</v>
      </c>
      <c r="E28" s="297">
        <v>361.8</v>
      </c>
      <c r="F28" s="172">
        <v>-5.5</v>
      </c>
      <c r="G28" s="253">
        <f t="shared" si="5"/>
        <v>-367.3</v>
      </c>
      <c r="H28" s="195">
        <f t="shared" si="11"/>
        <v>-1.5201768933112216</v>
      </c>
      <c r="I28" s="254">
        <f t="shared" si="8"/>
        <v>-825.5</v>
      </c>
      <c r="J28" s="254">
        <f t="shared" si="9"/>
        <v>-0.6707317073170732</v>
      </c>
      <c r="K28" s="174">
        <v>669.01</v>
      </c>
      <c r="L28" s="174">
        <f aca="true" t="shared" si="14" ref="L28:L39">F28-K28</f>
        <v>-674.51</v>
      </c>
      <c r="M28" s="212">
        <f t="shared" si="12"/>
        <v>-0.008221102823575133</v>
      </c>
      <c r="N28" s="195">
        <f>E28-липень!E28</f>
        <v>105</v>
      </c>
      <c r="O28" s="179">
        <f>F28-липень!F28</f>
        <v>35.31</v>
      </c>
      <c r="P28" s="166">
        <f t="shared" si="7"/>
        <v>-69.69</v>
      </c>
      <c r="Q28" s="254">
        <f t="shared" si="13"/>
        <v>33.62857142857143</v>
      </c>
      <c r="R28" s="104">
        <v>-25</v>
      </c>
      <c r="S28" s="104">
        <f>#N/A</f>
        <v>25</v>
      </c>
    </row>
    <row r="29" spans="1:19" s="6" customFormat="1" ht="18">
      <c r="A29" s="8"/>
      <c r="B29" s="50" t="s">
        <v>76</v>
      </c>
      <c r="C29" s="123"/>
      <c r="D29" s="171">
        <v>182992</v>
      </c>
      <c r="E29" s="297">
        <v>120830</v>
      </c>
      <c r="F29" s="172">
        <v>120261.01</v>
      </c>
      <c r="G29" s="150">
        <f t="shared" si="5"/>
        <v>-568.9900000000052</v>
      </c>
      <c r="H29" s="195">
        <f t="shared" si="11"/>
        <v>99.52909873375818</v>
      </c>
      <c r="I29" s="254">
        <f t="shared" si="8"/>
        <v>-62730.990000000005</v>
      </c>
      <c r="J29" s="254">
        <f t="shared" si="9"/>
        <v>65.71927188073795</v>
      </c>
      <c r="K29" s="175">
        <v>106137.5</v>
      </c>
      <c r="L29" s="175">
        <f t="shared" si="14"/>
        <v>14123.509999999995</v>
      </c>
      <c r="M29" s="211">
        <f t="shared" si="12"/>
        <v>1.1330680485219644</v>
      </c>
      <c r="N29" s="195">
        <f>E29-липень!E29</f>
        <v>16215</v>
      </c>
      <c r="O29" s="179">
        <f>F29-липень!F29</f>
        <v>15447.509999999995</v>
      </c>
      <c r="P29" s="166">
        <f t="shared" si="7"/>
        <v>-767.4900000000052</v>
      </c>
      <c r="Q29" s="254">
        <f t="shared" si="13"/>
        <v>95.26679000925066</v>
      </c>
      <c r="R29" s="104">
        <v>14232</v>
      </c>
      <c r="S29" s="104">
        <f>#N/A</f>
        <v>-13707.100000000006</v>
      </c>
    </row>
    <row r="30" spans="1:19" s="6" customFormat="1" ht="18" customHeight="1" hidden="1">
      <c r="A30" s="8"/>
      <c r="B30" s="196" t="s">
        <v>111</v>
      </c>
      <c r="C30" s="197"/>
      <c r="D30" s="198">
        <v>57533</v>
      </c>
      <c r="E30" s="198">
        <v>38215</v>
      </c>
      <c r="F30" s="199">
        <v>40713.77</v>
      </c>
      <c r="G30" s="223">
        <f t="shared" si="5"/>
        <v>2498.769999999997</v>
      </c>
      <c r="H30" s="237">
        <f t="shared" si="11"/>
        <v>106.53871516420253</v>
      </c>
      <c r="I30" s="299">
        <f t="shared" si="8"/>
        <v>-16819.230000000003</v>
      </c>
      <c r="J30" s="299">
        <f t="shared" si="9"/>
        <v>70.7659430240036</v>
      </c>
      <c r="K30" s="200">
        <v>34037.82</v>
      </c>
      <c r="L30" s="200">
        <f t="shared" si="14"/>
        <v>6675.949999999997</v>
      </c>
      <c r="M30" s="228">
        <f t="shared" si="12"/>
        <v>1.1961333011338564</v>
      </c>
      <c r="N30" s="237">
        <f>E30-липень!E30</f>
        <v>5500</v>
      </c>
      <c r="O30" s="237">
        <f>F30-липень!F30</f>
        <v>4857.889999999999</v>
      </c>
      <c r="P30" s="299">
        <f t="shared" si="7"/>
        <v>-642.1100000000006</v>
      </c>
      <c r="Q30" s="299">
        <f t="shared" si="13"/>
        <v>88.32527272727272</v>
      </c>
      <c r="R30" s="107"/>
      <c r="S30" s="100">
        <f>#N/A</f>
        <v>0</v>
      </c>
    </row>
    <row r="31" spans="1:19" s="6" customFormat="1" ht="18" customHeight="1" hidden="1">
      <c r="A31" s="8"/>
      <c r="B31" s="196" t="s">
        <v>112</v>
      </c>
      <c r="C31" s="197"/>
      <c r="D31" s="198">
        <v>125459</v>
      </c>
      <c r="E31" s="198">
        <v>82615</v>
      </c>
      <c r="F31" s="199">
        <v>79547.24</v>
      </c>
      <c r="G31" s="223">
        <f t="shared" si="5"/>
        <v>-3067.7599999999948</v>
      </c>
      <c r="H31" s="237">
        <f t="shared" si="11"/>
        <v>96.28667917448406</v>
      </c>
      <c r="I31" s="299">
        <f t="shared" si="8"/>
        <v>-45911.759999999995</v>
      </c>
      <c r="J31" s="299">
        <f t="shared" si="9"/>
        <v>63.40496895400092</v>
      </c>
      <c r="K31" s="200">
        <v>72099.67</v>
      </c>
      <c r="L31" s="200">
        <f t="shared" si="14"/>
        <v>7447.570000000007</v>
      </c>
      <c r="M31" s="228">
        <f t="shared" si="12"/>
        <v>1.103295479715788</v>
      </c>
      <c r="N31" s="237">
        <f>E31-липень!E31</f>
        <v>10715</v>
      </c>
      <c r="O31" s="237">
        <f>F31-липень!F31</f>
        <v>10589.62000000001</v>
      </c>
      <c r="P31" s="299">
        <f t="shared" si="7"/>
        <v>-125.3799999999901</v>
      </c>
      <c r="Q31" s="299">
        <f t="shared" si="13"/>
        <v>98.82986467568838</v>
      </c>
      <c r="R31" s="107"/>
      <c r="S31" s="100">
        <f>#N/A</f>
        <v>0</v>
      </c>
    </row>
    <row r="32" spans="1:19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 t="shared" si="5"/>
        <v>0.2</v>
      </c>
      <c r="H32" s="157"/>
      <c r="I32" s="158">
        <f t="shared" si="8"/>
        <v>0.2</v>
      </c>
      <c r="J32" s="158"/>
      <c r="K32" s="167">
        <v>0.15</v>
      </c>
      <c r="L32" s="158">
        <f t="shared" si="14"/>
        <v>0.05000000000000002</v>
      </c>
      <c r="M32" s="210"/>
      <c r="N32" s="157">
        <f>E32-липень!E32</f>
        <v>0</v>
      </c>
      <c r="O32" s="160">
        <f>F32-липень!F32</f>
        <v>0</v>
      </c>
      <c r="P32" s="161">
        <f t="shared" si="7"/>
        <v>0</v>
      </c>
      <c r="Q32" s="158"/>
      <c r="R32" s="293"/>
      <c r="S32" s="293">
        <f>#N/A</f>
        <v>0</v>
      </c>
    </row>
    <row r="33" spans="1:19" s="6" customFormat="1" ht="18">
      <c r="A33" s="8"/>
      <c r="B33" s="44" t="s">
        <v>82</v>
      </c>
      <c r="C33" s="114">
        <v>18030000</v>
      </c>
      <c r="D33" s="150">
        <v>115</v>
      </c>
      <c r="E33" s="150">
        <f>55.6+16</f>
        <v>71.6</v>
      </c>
      <c r="F33" s="156">
        <v>114.06</v>
      </c>
      <c r="G33" s="150">
        <f t="shared" si="5"/>
        <v>42.46000000000001</v>
      </c>
      <c r="H33" s="157">
        <f t="shared" si="11"/>
        <v>159.30167597765364</v>
      </c>
      <c r="I33" s="158">
        <f t="shared" si="8"/>
        <v>-0.9399999999999977</v>
      </c>
      <c r="J33" s="158">
        <f t="shared" si="9"/>
        <v>99.18260869565218</v>
      </c>
      <c r="K33" s="158">
        <v>85.95</v>
      </c>
      <c r="L33" s="158">
        <f t="shared" si="14"/>
        <v>28.11</v>
      </c>
      <c r="M33" s="210">
        <f aca="true" t="shared" si="15" ref="M33:M42">F33/K33</f>
        <v>1.3270506108202442</v>
      </c>
      <c r="N33" s="157">
        <f>E33-липень!E33</f>
        <v>15.999999999999993</v>
      </c>
      <c r="O33" s="160">
        <f>F33-липень!F33</f>
        <v>27.61</v>
      </c>
      <c r="P33" s="161">
        <f t="shared" si="7"/>
        <v>11.610000000000007</v>
      </c>
      <c r="Q33" s="158">
        <f t="shared" si="13"/>
        <v>172.56250000000006</v>
      </c>
      <c r="R33" s="293">
        <v>7</v>
      </c>
      <c r="S33" s="293">
        <f>#N/A</f>
        <v>-5.8500000000000085</v>
      </c>
    </row>
    <row r="34" spans="1:19" s="6" customFormat="1" ht="30.75">
      <c r="A34" s="8"/>
      <c r="B34" s="225" t="s">
        <v>83</v>
      </c>
      <c r="C34" s="114">
        <v>18040000</v>
      </c>
      <c r="D34" s="150"/>
      <c r="E34" s="150"/>
      <c r="F34" s="156">
        <v>-38.21</v>
      </c>
      <c r="G34" s="150">
        <f t="shared" si="5"/>
        <v>-38.21</v>
      </c>
      <c r="H34" s="157"/>
      <c r="I34" s="158">
        <f t="shared" si="8"/>
        <v>-38.21</v>
      </c>
      <c r="J34" s="158"/>
      <c r="K34" s="158">
        <v>-150.23</v>
      </c>
      <c r="L34" s="158">
        <f t="shared" si="14"/>
        <v>112.01999999999998</v>
      </c>
      <c r="M34" s="210">
        <f t="shared" si="15"/>
        <v>0.25434334021167543</v>
      </c>
      <c r="N34" s="157">
        <f>E34-липень!E34</f>
        <v>0</v>
      </c>
      <c r="O34" s="160">
        <f>F34-липень!F34</f>
        <v>-3.289999999999999</v>
      </c>
      <c r="P34" s="161">
        <f t="shared" si="7"/>
        <v>-3.289999999999999</v>
      </c>
      <c r="Q34" s="158"/>
      <c r="R34" s="293"/>
      <c r="S34" s="293">
        <f>#N/A</f>
        <v>0.6200000000000045</v>
      </c>
    </row>
    <row r="35" spans="1:19" s="6" customFormat="1" ht="18">
      <c r="A35" s="8"/>
      <c r="B35" s="44" t="s">
        <v>84</v>
      </c>
      <c r="C35" s="114">
        <v>18050000</v>
      </c>
      <c r="D35" s="162">
        <v>194394.1</v>
      </c>
      <c r="E35" s="162">
        <f>119162.7+24250</f>
        <v>143412.7</v>
      </c>
      <c r="F35" s="163">
        <v>150869.2</v>
      </c>
      <c r="G35" s="150">
        <f t="shared" si="5"/>
        <v>7456.5</v>
      </c>
      <c r="H35" s="157">
        <f t="shared" si="11"/>
        <v>105.19933032430183</v>
      </c>
      <c r="I35" s="158">
        <f t="shared" si="8"/>
        <v>-43524.899999999994</v>
      </c>
      <c r="J35" s="158">
        <f t="shared" si="9"/>
        <v>77.60996861530262</v>
      </c>
      <c r="K35" s="178">
        <v>107059.12</v>
      </c>
      <c r="L35" s="178">
        <f t="shared" si="14"/>
        <v>43810.080000000016</v>
      </c>
      <c r="M35" s="226">
        <f t="shared" si="15"/>
        <v>1.4092138997593107</v>
      </c>
      <c r="N35" s="157">
        <f>E35-липень!E35</f>
        <v>24250.000000000015</v>
      </c>
      <c r="O35" s="160">
        <f>F35-липень!F35</f>
        <v>25190.250000000015</v>
      </c>
      <c r="P35" s="161">
        <f t="shared" si="7"/>
        <v>940.25</v>
      </c>
      <c r="Q35" s="158">
        <f t="shared" si="13"/>
        <v>103.87731958762888</v>
      </c>
      <c r="R35" s="293">
        <v>7700</v>
      </c>
      <c r="S35" s="293">
        <f>#N/A</f>
        <v>-5354.399999999994</v>
      </c>
    </row>
    <row r="36" spans="1:19" s="6" customFormat="1" ht="15" customHeight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0.01</v>
      </c>
      <c r="G36" s="103">
        <f>F36-E36</f>
        <v>0.01</v>
      </c>
      <c r="H36" s="105"/>
      <c r="I36" s="104">
        <f t="shared" si="8"/>
        <v>0.01</v>
      </c>
      <c r="J36" s="104"/>
      <c r="K36" s="127">
        <v>0.23</v>
      </c>
      <c r="L36" s="127">
        <f t="shared" si="14"/>
        <v>-0.22</v>
      </c>
      <c r="M36" s="216">
        <f t="shared" si="15"/>
        <v>0.043478260869565216</v>
      </c>
      <c r="N36" s="105">
        <f>E36-липень!E36</f>
        <v>0</v>
      </c>
      <c r="O36" s="144">
        <f>F36-липень!F36</f>
        <v>0</v>
      </c>
      <c r="P36" s="106">
        <f>O36-N36</f>
        <v>0</v>
      </c>
      <c r="Q36" s="104"/>
      <c r="R36" s="107"/>
      <c r="S36" s="107"/>
    </row>
    <row r="37" spans="1:19" s="6" customFormat="1" ht="15" customHeight="1">
      <c r="A37" s="8"/>
      <c r="B37" s="50" t="s">
        <v>91</v>
      </c>
      <c r="C37" s="102">
        <v>18050300</v>
      </c>
      <c r="D37" s="103">
        <v>41000</v>
      </c>
      <c r="E37" s="103">
        <v>29520</v>
      </c>
      <c r="F37" s="140">
        <v>30163.42</v>
      </c>
      <c r="G37" s="103">
        <f>F37-E37</f>
        <v>643.4199999999983</v>
      </c>
      <c r="H37" s="105">
        <f t="shared" si="11"/>
        <v>102.17960704607046</v>
      </c>
      <c r="I37" s="104">
        <f t="shared" si="8"/>
        <v>-10836.580000000002</v>
      </c>
      <c r="J37" s="104">
        <f t="shared" si="9"/>
        <v>73.56931707317072</v>
      </c>
      <c r="K37" s="127">
        <v>27383.08</v>
      </c>
      <c r="L37" s="127">
        <f t="shared" si="14"/>
        <v>2780.3399999999965</v>
      </c>
      <c r="M37" s="216">
        <f t="shared" si="15"/>
        <v>1.101534962465873</v>
      </c>
      <c r="N37" s="105">
        <f>E37-липень!E37</f>
        <v>6250</v>
      </c>
      <c r="O37" s="144">
        <f>F37-липень!F37</f>
        <v>6071.489999999998</v>
      </c>
      <c r="P37" s="106">
        <f>O37-N37</f>
        <v>-178.51000000000204</v>
      </c>
      <c r="Q37" s="104">
        <f>O37/N37*100</f>
        <v>97.14383999999997</v>
      </c>
      <c r="R37" s="107"/>
      <c r="S37" s="107"/>
    </row>
    <row r="38" spans="1:19" s="6" customFormat="1" ht="15" customHeight="1">
      <c r="A38" s="8"/>
      <c r="B38" s="50" t="s">
        <v>92</v>
      </c>
      <c r="C38" s="102">
        <v>18050400</v>
      </c>
      <c r="D38" s="103">
        <v>153339.1</v>
      </c>
      <c r="E38" s="103">
        <v>113860</v>
      </c>
      <c r="F38" s="140">
        <v>120675.69</v>
      </c>
      <c r="G38" s="103">
        <f>F38-E38</f>
        <v>6815.690000000002</v>
      </c>
      <c r="H38" s="105">
        <f t="shared" si="11"/>
        <v>105.98602669945546</v>
      </c>
      <c r="I38" s="104">
        <f t="shared" si="8"/>
        <v>-32663.410000000003</v>
      </c>
      <c r="J38" s="104">
        <f t="shared" si="9"/>
        <v>78.69857720568335</v>
      </c>
      <c r="K38" s="127">
        <v>79650.8</v>
      </c>
      <c r="L38" s="127">
        <f t="shared" si="14"/>
        <v>41024.89</v>
      </c>
      <c r="M38" s="216">
        <f t="shared" si="15"/>
        <v>1.5150593591024824</v>
      </c>
      <c r="N38" s="105">
        <f>E38-липень!E38</f>
        <v>18000</v>
      </c>
      <c r="O38" s="144">
        <f>F38-липень!F38</f>
        <v>19118.76000000001</v>
      </c>
      <c r="P38" s="106">
        <f>O38-N38</f>
        <v>1118.7600000000093</v>
      </c>
      <c r="Q38" s="104">
        <f>O38/N38*100</f>
        <v>106.21533333333339</v>
      </c>
      <c r="R38" s="107"/>
      <c r="S38" s="107"/>
    </row>
    <row r="39" spans="1:19" s="6" customFormat="1" ht="15" customHeight="1">
      <c r="A39" s="8"/>
      <c r="B39" s="50" t="s">
        <v>93</v>
      </c>
      <c r="C39" s="102">
        <v>18050500</v>
      </c>
      <c r="D39" s="103">
        <v>55</v>
      </c>
      <c r="E39" s="103">
        <v>32.7</v>
      </c>
      <c r="F39" s="140">
        <v>30.07</v>
      </c>
      <c r="G39" s="103">
        <f>F39-E39</f>
        <v>-2.6300000000000026</v>
      </c>
      <c r="H39" s="105">
        <f t="shared" si="11"/>
        <v>91.95718654434249</v>
      </c>
      <c r="I39" s="104">
        <f t="shared" si="8"/>
        <v>-24.93</v>
      </c>
      <c r="J39" s="104">
        <f t="shared" si="9"/>
        <v>54.67272727272727</v>
      </c>
      <c r="K39" s="127">
        <v>25</v>
      </c>
      <c r="L39" s="127">
        <f t="shared" si="14"/>
        <v>5.07</v>
      </c>
      <c r="M39" s="216">
        <f t="shared" si="15"/>
        <v>1.2028</v>
      </c>
      <c r="N39" s="105">
        <f>E39-липень!E39</f>
        <v>0</v>
      </c>
      <c r="O39" s="144">
        <f>F39-липень!F39</f>
        <v>0</v>
      </c>
      <c r="P39" s="106">
        <f>O39-N39</f>
        <v>0</v>
      </c>
      <c r="Q39" s="104" t="e">
        <f>O39/N39*100</f>
        <v>#DIV/0!</v>
      </c>
      <c r="R39" s="107"/>
      <c r="S39" s="107"/>
    </row>
    <row r="40" spans="1:19" s="6" customFormat="1" ht="15" customHeight="1">
      <c r="A40" s="8"/>
      <c r="B40" s="232"/>
      <c r="C40" s="43"/>
      <c r="D40" s="34">
        <v>0</v>
      </c>
      <c r="E40" s="34">
        <v>0</v>
      </c>
      <c r="F40" s="290">
        <v>0</v>
      </c>
      <c r="G40" s="103">
        <f>F40-E40</f>
        <v>0</v>
      </c>
      <c r="H40" s="157"/>
      <c r="I40" s="37">
        <f>#N/A</f>
        <v>0</v>
      </c>
      <c r="J40" s="37"/>
      <c r="K40" s="119">
        <v>0</v>
      </c>
      <c r="L40" s="119">
        <f>#N/A</f>
        <v>0</v>
      </c>
      <c r="M40" s="217" t="e">
        <f t="shared" si="15"/>
        <v>#DIV/0!</v>
      </c>
      <c r="N40" s="157">
        <v>0</v>
      </c>
      <c r="O40" s="160">
        <f>F40-липень!F40</f>
        <v>0</v>
      </c>
      <c r="P40" s="36">
        <f>O40-N40</f>
        <v>0</v>
      </c>
      <c r="Q40" s="37"/>
      <c r="R40" s="107"/>
      <c r="S40" s="107"/>
    </row>
    <row r="41" spans="1:19" s="6" customFormat="1" ht="17.25">
      <c r="A41" s="7"/>
      <c r="B41" s="16" t="s">
        <v>12</v>
      </c>
      <c r="C41" s="70">
        <v>20000000</v>
      </c>
      <c r="D41" s="151">
        <f>D42+D43+D44+D45+D46+D48+D50+D51+D52+D53+D54+D59+D60+D64+D47+D49</f>
        <v>59025</v>
      </c>
      <c r="E41" s="151">
        <f>E42+E43+E44+E45+E46+E48+E50+E51+E52+E53+E54+E59+E60+E64+E47+E49</f>
        <v>40577.5</v>
      </c>
      <c r="F41" s="287">
        <f>F42+F43+F44+F45+F46+F48+F50+F51+F52+F53+F54+F59+F60+F64+F47+F49</f>
        <v>47414.899999999994</v>
      </c>
      <c r="G41" s="287">
        <f>G42+G43+G44+G45+G46+G48+G50+G51+G52+G53+G54+G59+G60+G64+G47+G49</f>
        <v>6837.4</v>
      </c>
      <c r="H41" s="151">
        <f>F41/E41*100</f>
        <v>116.85022487831924</v>
      </c>
      <c r="I41" s="153">
        <f>F41-D41</f>
        <v>-11610.100000000006</v>
      </c>
      <c r="J41" s="153">
        <f>F41/D41*100</f>
        <v>80.33019906819143</v>
      </c>
      <c r="K41" s="287">
        <v>42988.26</v>
      </c>
      <c r="L41" s="151">
        <f>F41-K41</f>
        <v>4426.639999999992</v>
      </c>
      <c r="M41" s="205">
        <f t="shared" si="15"/>
        <v>1.1029732303656856</v>
      </c>
      <c r="N41" s="151">
        <f>N42+N43+N44+N45+N46+N48+N50+N51+N52+N53+N54+N59+N60+N64+N47+N49</f>
        <v>5383.8</v>
      </c>
      <c r="O41" s="287">
        <f>O42+O43+O44+O45+O46+O48+O50+O51+O52+O53+O54+O59+O60+O64+O47+O49</f>
        <v>6951.510000000001</v>
      </c>
      <c r="P41" s="151">
        <f>P42+P43+P44+P45+P46+P48+P50+P51+P52+P53+P54+P59+P60+P64</f>
        <v>1573.9100000000003</v>
      </c>
      <c r="Q41" s="151">
        <f>O41/N41*100</f>
        <v>129.11902373788033</v>
      </c>
      <c r="R41" s="15">
        <f>R42+R43+R44+R45+R46+R47+R48+R50+R51+R52+R53+R54+R59+R60+R64</f>
        <v>5598.5</v>
      </c>
      <c r="S41" s="15">
        <f>O41-R41</f>
        <v>1353.0100000000011</v>
      </c>
    </row>
    <row r="42" spans="1:19" s="6" customFormat="1" ht="46.5">
      <c r="A42" s="8"/>
      <c r="B42" s="44" t="s">
        <v>98</v>
      </c>
      <c r="C42" s="43">
        <v>21010301</v>
      </c>
      <c r="D42" s="150">
        <v>580</v>
      </c>
      <c r="E42" s="150">
        <f>260+220</f>
        <v>480</v>
      </c>
      <c r="F42" s="156">
        <v>3557.9</v>
      </c>
      <c r="G42" s="150">
        <f aca="true" t="shared" si="16" ref="G42:G66">F42-E42</f>
        <v>3077.9</v>
      </c>
      <c r="H42" s="164">
        <f>F42/E42*100</f>
        <v>741.2291666666666</v>
      </c>
      <c r="I42" s="165">
        <f>F42-D42</f>
        <v>2977.9</v>
      </c>
      <c r="J42" s="165">
        <f>F42/D42*100</f>
        <v>613.4310344827586</v>
      </c>
      <c r="K42" s="165">
        <v>416.84</v>
      </c>
      <c r="L42" s="165">
        <f>F42-K42</f>
        <v>3141.06</v>
      </c>
      <c r="M42" s="218">
        <f t="shared" si="15"/>
        <v>8.535409269743788</v>
      </c>
      <c r="N42" s="157">
        <f>E42-липень!E42</f>
        <v>220</v>
      </c>
      <c r="O42" s="160">
        <f>F42-липень!F42</f>
        <v>1352.58</v>
      </c>
      <c r="P42" s="161">
        <f aca="true" t="shared" si="17" ref="P42:P66">O42-N42</f>
        <v>1132.58</v>
      </c>
      <c r="Q42" s="165">
        <f>O42/N42</f>
        <v>6.148090909090909</v>
      </c>
      <c r="R42" s="37">
        <v>0</v>
      </c>
      <c r="S42" s="37">
        <f>O42-R42</f>
        <v>1352.58</v>
      </c>
    </row>
    <row r="43" spans="1:19" s="6" customFormat="1" ht="30.75">
      <c r="A43" s="8"/>
      <c r="B43" s="129" t="s">
        <v>77</v>
      </c>
      <c r="C43" s="42">
        <v>21050000</v>
      </c>
      <c r="D43" s="150">
        <v>30000</v>
      </c>
      <c r="E43" s="150">
        <f>16500+2800</f>
        <v>19300</v>
      </c>
      <c r="F43" s="156">
        <v>18068.14</v>
      </c>
      <c r="G43" s="150">
        <f t="shared" si="16"/>
        <v>-1231.8600000000006</v>
      </c>
      <c r="H43" s="164">
        <f aca="true" t="shared" si="18" ref="H43:H65">F43/E43*100</f>
        <v>93.61730569948186</v>
      </c>
      <c r="I43" s="165">
        <f aca="true" t="shared" si="19" ref="I43:I66">F43-D43</f>
        <v>-11931.86</v>
      </c>
      <c r="J43" s="165">
        <f>F43/D43*100</f>
        <v>60.22713333333333</v>
      </c>
      <c r="K43" s="165">
        <v>20560.18</v>
      </c>
      <c r="L43" s="165">
        <f aca="true" t="shared" si="20" ref="L43:L66">F43-K43</f>
        <v>-2492.040000000001</v>
      </c>
      <c r="M43" s="218">
        <f aca="true" t="shared" si="21" ref="M43:M66">F43/K43</f>
        <v>0.878792889945516</v>
      </c>
      <c r="N43" s="157">
        <f>E43-липень!E43</f>
        <v>2800</v>
      </c>
      <c r="O43" s="160">
        <f>F43-липень!F43</f>
        <v>2175.51</v>
      </c>
      <c r="P43" s="161">
        <f t="shared" si="17"/>
        <v>-624.4899999999998</v>
      </c>
      <c r="Q43" s="165">
        <f aca="true" t="shared" si="22" ref="Q43:Q65">O43/N43</f>
        <v>0.7769678571428572</v>
      </c>
      <c r="R43" s="37">
        <v>2874.5</v>
      </c>
      <c r="S43" s="37">
        <f>#N/A</f>
        <v>-699.0300000000007</v>
      </c>
    </row>
    <row r="44" spans="1:19" s="6" customFormat="1" ht="18">
      <c r="A44" s="8"/>
      <c r="B44" s="129" t="s">
        <v>61</v>
      </c>
      <c r="C44" s="42">
        <v>21080500</v>
      </c>
      <c r="D44" s="150">
        <v>40</v>
      </c>
      <c r="E44" s="150">
        <v>24</v>
      </c>
      <c r="F44" s="156">
        <v>123.3</v>
      </c>
      <c r="G44" s="150">
        <f t="shared" si="16"/>
        <v>99.3</v>
      </c>
      <c r="H44" s="164">
        <f t="shared" si="18"/>
        <v>513.75</v>
      </c>
      <c r="I44" s="165">
        <f t="shared" si="19"/>
        <v>83.3</v>
      </c>
      <c r="J44" s="165">
        <f aca="true" t="shared" si="23" ref="J44:J65">F44/D44*100</f>
        <v>308.25</v>
      </c>
      <c r="K44" s="165">
        <v>28.07</v>
      </c>
      <c r="L44" s="165">
        <f t="shared" si="20"/>
        <v>95.22999999999999</v>
      </c>
      <c r="M44" s="218">
        <f t="shared" si="21"/>
        <v>4.39258995368721</v>
      </c>
      <c r="N44" s="157">
        <f>E44-липень!E44</f>
        <v>1</v>
      </c>
      <c r="O44" s="160">
        <f>F44-липень!F44</f>
        <v>5</v>
      </c>
      <c r="P44" s="161">
        <f t="shared" si="17"/>
        <v>4</v>
      </c>
      <c r="Q44" s="165">
        <f t="shared" si="22"/>
        <v>5</v>
      </c>
      <c r="R44" s="37">
        <v>10</v>
      </c>
      <c r="S44" s="37">
        <f>#N/A</f>
        <v>-10</v>
      </c>
    </row>
    <row r="45" spans="1:19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12.95</v>
      </c>
      <c r="G45" s="150">
        <f t="shared" si="16"/>
        <v>12.95</v>
      </c>
      <c r="H45" s="164"/>
      <c r="I45" s="165">
        <f t="shared" si="19"/>
        <v>12.95</v>
      </c>
      <c r="J45" s="165"/>
      <c r="K45" s="165">
        <v>0.1</v>
      </c>
      <c r="L45" s="165">
        <f t="shared" si="20"/>
        <v>12.85</v>
      </c>
      <c r="M45" s="218"/>
      <c r="N45" s="157">
        <f>E45-липень!E45</f>
        <v>0</v>
      </c>
      <c r="O45" s="160">
        <f>F45-липень!F45</f>
        <v>2.16</v>
      </c>
      <c r="P45" s="161">
        <f t="shared" si="17"/>
        <v>2.16</v>
      </c>
      <c r="Q45" s="165"/>
      <c r="R45" s="37">
        <v>0</v>
      </c>
      <c r="S45" s="37">
        <f>#N/A</f>
        <v>0</v>
      </c>
    </row>
    <row r="46" spans="1:19" s="6" customFormat="1" ht="18">
      <c r="A46" s="8"/>
      <c r="B46" s="130" t="s">
        <v>16</v>
      </c>
      <c r="C46" s="72">
        <v>21081100</v>
      </c>
      <c r="D46" s="150">
        <v>260</v>
      </c>
      <c r="E46" s="150">
        <v>172</v>
      </c>
      <c r="F46" s="156">
        <v>599.15</v>
      </c>
      <c r="G46" s="150">
        <f t="shared" si="16"/>
        <v>427.15</v>
      </c>
      <c r="H46" s="164">
        <f t="shared" si="18"/>
        <v>348.34302325581393</v>
      </c>
      <c r="I46" s="165">
        <f t="shared" si="19"/>
        <v>339.15</v>
      </c>
      <c r="J46" s="165">
        <f t="shared" si="23"/>
        <v>230.44230769230768</v>
      </c>
      <c r="K46" s="165">
        <v>195.12</v>
      </c>
      <c r="L46" s="165">
        <f t="shared" si="20"/>
        <v>404.03</v>
      </c>
      <c r="M46" s="218">
        <f t="shared" si="21"/>
        <v>3.0706744567445674</v>
      </c>
      <c r="N46" s="157">
        <f>E46-липень!E46</f>
        <v>22</v>
      </c>
      <c r="O46" s="160">
        <f>F46-липень!F46</f>
        <v>53.559999999999945</v>
      </c>
      <c r="P46" s="161">
        <f t="shared" si="17"/>
        <v>31.559999999999945</v>
      </c>
      <c r="Q46" s="165">
        <f t="shared" si="22"/>
        <v>2.434545454545452</v>
      </c>
      <c r="R46" s="37">
        <v>70</v>
      </c>
      <c r="S46" s="37">
        <f>#N/A</f>
        <v>-51.39999999999998</v>
      </c>
    </row>
    <row r="47" spans="1:19" s="6" customFormat="1" ht="46.5">
      <c r="A47" s="8"/>
      <c r="B47" s="130" t="s">
        <v>80</v>
      </c>
      <c r="C47" s="72">
        <v>21081500</v>
      </c>
      <c r="D47" s="150">
        <v>97.5</v>
      </c>
      <c r="E47" s="150">
        <f>61.2+6.8</f>
        <v>68</v>
      </c>
      <c r="F47" s="156">
        <v>71.63</v>
      </c>
      <c r="G47" s="150">
        <f t="shared" si="16"/>
        <v>3.6299999999999955</v>
      </c>
      <c r="H47" s="164">
        <f t="shared" si="18"/>
        <v>105.33823529411764</v>
      </c>
      <c r="I47" s="165">
        <f t="shared" si="19"/>
        <v>-25.870000000000005</v>
      </c>
      <c r="J47" s="165">
        <f t="shared" si="23"/>
        <v>73.46666666666665</v>
      </c>
      <c r="K47" s="165">
        <v>41.15</v>
      </c>
      <c r="L47" s="165">
        <f t="shared" si="20"/>
        <v>30.479999999999997</v>
      </c>
      <c r="M47" s="218">
        <f t="shared" si="21"/>
        <v>1.7407047387606318</v>
      </c>
      <c r="N47" s="157">
        <f>E47-липень!E47</f>
        <v>6.799999999999997</v>
      </c>
      <c r="O47" s="160">
        <f>F47-липень!F47</f>
        <v>0.5999999999999943</v>
      </c>
      <c r="P47" s="161">
        <f t="shared" si="17"/>
        <v>-6.200000000000003</v>
      </c>
      <c r="Q47" s="165">
        <f t="shared" si="22"/>
        <v>0.08823529411764626</v>
      </c>
      <c r="R47" s="37">
        <v>0</v>
      </c>
      <c r="S47" s="37">
        <f>#N/A</f>
        <v>0</v>
      </c>
    </row>
    <row r="48" spans="1:19" s="6" customFormat="1" ht="30.75">
      <c r="A48" s="8"/>
      <c r="B48" s="148" t="s">
        <v>105</v>
      </c>
      <c r="C48" s="49">
        <v>22010300</v>
      </c>
      <c r="D48" s="150">
        <v>730</v>
      </c>
      <c r="E48" s="150">
        <v>580</v>
      </c>
      <c r="F48" s="156">
        <v>812.87</v>
      </c>
      <c r="G48" s="150">
        <f t="shared" si="16"/>
        <v>232.87</v>
      </c>
      <c r="H48" s="164">
        <f t="shared" si="18"/>
        <v>140.15</v>
      </c>
      <c r="I48" s="165">
        <f t="shared" si="19"/>
        <v>82.87</v>
      </c>
      <c r="J48" s="165">
        <f t="shared" si="23"/>
        <v>111.35205479452055</v>
      </c>
      <c r="K48" s="165">
        <v>328.11</v>
      </c>
      <c r="L48" s="165">
        <f t="shared" si="20"/>
        <v>484.76</v>
      </c>
      <c r="M48" s="218">
        <f t="shared" si="21"/>
        <v>2.477431349242632</v>
      </c>
      <c r="N48" s="157">
        <f>E48-липень!E48</f>
        <v>60</v>
      </c>
      <c r="O48" s="160">
        <f>F48-липень!F48</f>
        <v>98.26999999999998</v>
      </c>
      <c r="P48" s="161">
        <f t="shared" si="17"/>
        <v>38.26999999999998</v>
      </c>
      <c r="Q48" s="165">
        <f t="shared" si="22"/>
        <v>1.637833333333333</v>
      </c>
      <c r="R48" s="37">
        <v>100</v>
      </c>
      <c r="S48" s="37">
        <f>#N/A</f>
        <v>-87.70000000000005</v>
      </c>
    </row>
    <row r="49" spans="1:19" s="6" customFormat="1" ht="18">
      <c r="A49" s="8"/>
      <c r="B49" s="130" t="s">
        <v>223</v>
      </c>
      <c r="C49" s="49">
        <v>22010200</v>
      </c>
      <c r="D49" s="150">
        <v>0</v>
      </c>
      <c r="E49" s="150">
        <v>0</v>
      </c>
      <c r="F49" s="156">
        <v>23.38</v>
      </c>
      <c r="G49" s="150">
        <f t="shared" si="16"/>
        <v>23.38</v>
      </c>
      <c r="H49" s="164"/>
      <c r="I49" s="165">
        <f t="shared" si="19"/>
        <v>23.38</v>
      </c>
      <c r="J49" s="165" t="e">
        <f t="shared" si="23"/>
        <v>#DIV/0!</v>
      </c>
      <c r="K49" s="165"/>
      <c r="L49" s="165">
        <f t="shared" si="20"/>
        <v>23.38</v>
      </c>
      <c r="M49" s="218" t="e">
        <f t="shared" si="21"/>
        <v>#DIV/0!</v>
      </c>
      <c r="N49" s="157">
        <f>E49-липень!E49</f>
        <v>0</v>
      </c>
      <c r="O49" s="160">
        <f>F49-липень!F49</f>
        <v>0</v>
      </c>
      <c r="P49" s="161">
        <f t="shared" si="17"/>
        <v>0</v>
      </c>
      <c r="Q49" s="165"/>
      <c r="R49" s="37"/>
      <c r="S49" s="37">
        <f>#N/A</f>
        <v>0</v>
      </c>
    </row>
    <row r="50" spans="1:19" s="6" customFormat="1" ht="18">
      <c r="A50" s="8"/>
      <c r="B50" s="33" t="s">
        <v>78</v>
      </c>
      <c r="C50" s="72">
        <v>22012500</v>
      </c>
      <c r="D50" s="150">
        <v>11000</v>
      </c>
      <c r="E50" s="150">
        <v>7940</v>
      </c>
      <c r="F50" s="156">
        <v>12913.82</v>
      </c>
      <c r="G50" s="150">
        <f t="shared" si="16"/>
        <v>4973.82</v>
      </c>
      <c r="H50" s="164">
        <f t="shared" si="18"/>
        <v>162.6425692695214</v>
      </c>
      <c r="I50" s="165">
        <f t="shared" si="19"/>
        <v>1913.8199999999997</v>
      </c>
      <c r="J50" s="165">
        <f t="shared" si="23"/>
        <v>117.39836363636363</v>
      </c>
      <c r="K50" s="165">
        <v>7062.64</v>
      </c>
      <c r="L50" s="165">
        <f t="shared" si="20"/>
        <v>5851.179999999999</v>
      </c>
      <c r="M50" s="218">
        <f t="shared" si="21"/>
        <v>1.8284692409637189</v>
      </c>
      <c r="N50" s="157">
        <f>E50-липень!E50</f>
        <v>900</v>
      </c>
      <c r="O50" s="160">
        <f>F50-липень!F50</f>
        <v>2129.83</v>
      </c>
      <c r="P50" s="161">
        <f t="shared" si="17"/>
        <v>1229.83</v>
      </c>
      <c r="Q50" s="165">
        <f t="shared" si="22"/>
        <v>2.366477777777778</v>
      </c>
      <c r="R50" s="37">
        <v>1400</v>
      </c>
      <c r="S50" s="37">
        <f>#N/A</f>
        <v>-1102.3500000000004</v>
      </c>
    </row>
    <row r="51" spans="1:19" s="6" customFormat="1" ht="31.5">
      <c r="A51" s="8"/>
      <c r="B51" s="149" t="s">
        <v>99</v>
      </c>
      <c r="C51" s="72">
        <v>22012600</v>
      </c>
      <c r="D51" s="150">
        <v>310</v>
      </c>
      <c r="E51" s="150">
        <f>175+35</f>
        <v>210</v>
      </c>
      <c r="F51" s="156">
        <v>376.24</v>
      </c>
      <c r="G51" s="150">
        <f t="shared" si="16"/>
        <v>166.24</v>
      </c>
      <c r="H51" s="164">
        <f t="shared" si="18"/>
        <v>179.16190476190476</v>
      </c>
      <c r="I51" s="165">
        <f t="shared" si="19"/>
        <v>66.24000000000001</v>
      </c>
      <c r="J51" s="165">
        <f t="shared" si="23"/>
        <v>121.36774193548388</v>
      </c>
      <c r="K51" s="165">
        <v>168.26</v>
      </c>
      <c r="L51" s="165">
        <f t="shared" si="20"/>
        <v>207.98000000000002</v>
      </c>
      <c r="M51" s="218">
        <f t="shared" si="21"/>
        <v>2.2360632354689174</v>
      </c>
      <c r="N51" s="157">
        <f>E51-липень!E51</f>
        <v>35</v>
      </c>
      <c r="O51" s="160">
        <f>F51-липень!F51</f>
        <v>70.07</v>
      </c>
      <c r="P51" s="161">
        <f t="shared" si="17"/>
        <v>35.06999999999999</v>
      </c>
      <c r="Q51" s="165">
        <f t="shared" si="22"/>
        <v>2.002</v>
      </c>
      <c r="R51" s="37">
        <v>40</v>
      </c>
      <c r="S51" s="37">
        <f>#N/A</f>
        <v>-32</v>
      </c>
    </row>
    <row r="52" spans="1:19" s="6" customFormat="1" ht="31.5">
      <c r="A52" s="8"/>
      <c r="B52" s="149" t="s">
        <v>106</v>
      </c>
      <c r="C52" s="72">
        <v>22012900</v>
      </c>
      <c r="D52" s="150">
        <v>20</v>
      </c>
      <c r="E52" s="150">
        <v>16</v>
      </c>
      <c r="F52" s="156">
        <v>31.68</v>
      </c>
      <c r="G52" s="150">
        <f t="shared" si="16"/>
        <v>15.68</v>
      </c>
      <c r="H52" s="164">
        <f t="shared" si="18"/>
        <v>198</v>
      </c>
      <c r="I52" s="165">
        <f t="shared" si="19"/>
        <v>11.68</v>
      </c>
      <c r="J52" s="165">
        <f t="shared" si="23"/>
        <v>158.4</v>
      </c>
      <c r="K52" s="165">
        <v>15.44</v>
      </c>
      <c r="L52" s="165">
        <f t="shared" si="20"/>
        <v>16.240000000000002</v>
      </c>
      <c r="M52" s="218">
        <f t="shared" si="21"/>
        <v>2.051813471502591</v>
      </c>
      <c r="N52" s="157">
        <f>E52-липень!E52</f>
        <v>4</v>
      </c>
      <c r="O52" s="160">
        <f>F52-липень!F52</f>
        <v>5.759999999999998</v>
      </c>
      <c r="P52" s="161">
        <f t="shared" si="17"/>
        <v>1.759999999999998</v>
      </c>
      <c r="Q52" s="165">
        <f t="shared" si="22"/>
        <v>1.4399999999999995</v>
      </c>
      <c r="R52" s="37">
        <v>4</v>
      </c>
      <c r="S52" s="37">
        <f>#N/A</f>
        <v>-2.4200000000000017</v>
      </c>
    </row>
    <row r="53" spans="1:19" s="6" customFormat="1" ht="30.75">
      <c r="A53" s="8"/>
      <c r="B53" s="130" t="s">
        <v>14</v>
      </c>
      <c r="C53" s="49">
        <v>22080400</v>
      </c>
      <c r="D53" s="150">
        <v>7275</v>
      </c>
      <c r="E53" s="150">
        <f>4250+605</f>
        <v>4855</v>
      </c>
      <c r="F53" s="156">
        <v>4333.34</v>
      </c>
      <c r="G53" s="150">
        <f t="shared" si="16"/>
        <v>-521.6599999999999</v>
      </c>
      <c r="H53" s="164">
        <f t="shared" si="18"/>
        <v>89.2552008238929</v>
      </c>
      <c r="I53" s="165">
        <f t="shared" si="19"/>
        <v>-2941.66</v>
      </c>
      <c r="J53" s="165">
        <f t="shared" si="23"/>
        <v>59.56481099656358</v>
      </c>
      <c r="K53" s="165">
        <v>5068.19</v>
      </c>
      <c r="L53" s="165">
        <f t="shared" si="20"/>
        <v>-734.8499999999995</v>
      </c>
      <c r="M53" s="218">
        <f t="shared" si="21"/>
        <v>0.8550074089566493</v>
      </c>
      <c r="N53" s="157">
        <f>E53-липень!E53</f>
        <v>605</v>
      </c>
      <c r="O53" s="160">
        <f>F53-липень!F53</f>
        <v>547.2000000000003</v>
      </c>
      <c r="P53" s="161">
        <f t="shared" si="17"/>
        <v>-57.79999999999973</v>
      </c>
      <c r="Q53" s="165">
        <f t="shared" si="22"/>
        <v>0.9044628099173558</v>
      </c>
      <c r="R53" s="37">
        <v>550</v>
      </c>
      <c r="S53" s="37">
        <f>#N/A</f>
        <v>4.360000000000127</v>
      </c>
    </row>
    <row r="54" spans="1:19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790</v>
      </c>
      <c r="F54" s="156">
        <v>550.99</v>
      </c>
      <c r="G54" s="150">
        <f t="shared" si="16"/>
        <v>-239.01</v>
      </c>
      <c r="H54" s="164">
        <f t="shared" si="18"/>
        <v>69.74556962025316</v>
      </c>
      <c r="I54" s="165">
        <f t="shared" si="19"/>
        <v>-649.01</v>
      </c>
      <c r="J54" s="165">
        <f t="shared" si="23"/>
        <v>45.91583333333333</v>
      </c>
      <c r="K54" s="165">
        <v>4347.61</v>
      </c>
      <c r="L54" s="165">
        <f t="shared" si="20"/>
        <v>-3796.62</v>
      </c>
      <c r="M54" s="218">
        <f t="shared" si="21"/>
        <v>0.1267339986797344</v>
      </c>
      <c r="N54" s="157">
        <f>E54-липень!E54</f>
        <v>100</v>
      </c>
      <c r="O54" s="160">
        <f>F54-липень!F54</f>
        <v>71.84000000000003</v>
      </c>
      <c r="P54" s="161">
        <f t="shared" si="17"/>
        <v>-28.159999999999968</v>
      </c>
      <c r="Q54" s="165">
        <f t="shared" si="22"/>
        <v>0.7184000000000004</v>
      </c>
      <c r="R54" s="37">
        <v>50</v>
      </c>
      <c r="S54" s="37">
        <f>#N/A</f>
        <v>-32.60000000000002</v>
      </c>
    </row>
    <row r="55" spans="1:19" s="6" customFormat="1" ht="18" hidden="1">
      <c r="A55" s="8"/>
      <c r="B55" s="50" t="s">
        <v>97</v>
      </c>
      <c r="C55" s="123">
        <v>22090100</v>
      </c>
      <c r="D55" s="103">
        <v>998</v>
      </c>
      <c r="E55" s="103">
        <v>660</v>
      </c>
      <c r="F55" s="140">
        <v>466.98</v>
      </c>
      <c r="G55" s="103">
        <f t="shared" si="16"/>
        <v>-193.01999999999998</v>
      </c>
      <c r="H55" s="164">
        <f t="shared" si="18"/>
        <v>70.75454545454546</v>
      </c>
      <c r="I55" s="104">
        <f t="shared" si="19"/>
        <v>-531.02</v>
      </c>
      <c r="J55" s="104">
        <f t="shared" si="23"/>
        <v>46.791583166332664</v>
      </c>
      <c r="K55" s="104">
        <v>570.13</v>
      </c>
      <c r="L55" s="165">
        <f t="shared" si="20"/>
        <v>-103.14999999999998</v>
      </c>
      <c r="M55" s="218">
        <f t="shared" si="21"/>
        <v>0.819076351007665</v>
      </c>
      <c r="N55" s="105">
        <f>E55-липень!E55</f>
        <v>80</v>
      </c>
      <c r="O55" s="144">
        <f>F55-липень!F55</f>
        <v>57.84000000000003</v>
      </c>
      <c r="P55" s="106">
        <f t="shared" si="17"/>
        <v>-22.159999999999968</v>
      </c>
      <c r="Q55" s="104">
        <f t="shared" si="22"/>
        <v>0.7230000000000004</v>
      </c>
      <c r="R55" s="37"/>
      <c r="S55" s="37">
        <f>#N/A</f>
        <v>0</v>
      </c>
    </row>
    <row r="56" spans="1:19" s="6" customFormat="1" ht="18" hidden="1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0.15</v>
      </c>
      <c r="G56" s="103">
        <f t="shared" si="16"/>
        <v>0.15</v>
      </c>
      <c r="H56" s="164" t="e">
        <f t="shared" si="18"/>
        <v>#DIV/0!</v>
      </c>
      <c r="I56" s="104">
        <f t="shared" si="19"/>
        <v>-0.85</v>
      </c>
      <c r="J56" s="104">
        <f t="shared" si="23"/>
        <v>15</v>
      </c>
      <c r="K56" s="104">
        <v>0.27</v>
      </c>
      <c r="L56" s="165">
        <f t="shared" si="20"/>
        <v>-0.12000000000000002</v>
      </c>
      <c r="M56" s="218">
        <f t="shared" si="21"/>
        <v>0.5555555555555555</v>
      </c>
      <c r="N56" s="105">
        <f>E56-липень!E56</f>
        <v>0</v>
      </c>
      <c r="O56" s="144">
        <f>F56-липень!F56</f>
        <v>0</v>
      </c>
      <c r="P56" s="106">
        <f t="shared" si="17"/>
        <v>0</v>
      </c>
      <c r="Q56" s="104"/>
      <c r="R56" s="37"/>
      <c r="S56" s="37">
        <f>#N/A</f>
        <v>0</v>
      </c>
    </row>
    <row r="57" spans="1:19" s="6" customFormat="1" ht="18" hidden="1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103">
        <f t="shared" si="16"/>
        <v>0</v>
      </c>
      <c r="H57" s="164" t="e">
        <f t="shared" si="18"/>
        <v>#DIV/0!</v>
      </c>
      <c r="I57" s="104">
        <f t="shared" si="19"/>
        <v>-1</v>
      </c>
      <c r="J57" s="104">
        <f t="shared" si="23"/>
        <v>0</v>
      </c>
      <c r="K57" s="104">
        <v>0.02</v>
      </c>
      <c r="L57" s="165">
        <f t="shared" si="20"/>
        <v>-0.02</v>
      </c>
      <c r="M57" s="218">
        <f t="shared" si="21"/>
        <v>0</v>
      </c>
      <c r="N57" s="105">
        <f>E57-липень!E57</f>
        <v>0</v>
      </c>
      <c r="O57" s="144">
        <f>F57-липень!F57</f>
        <v>0</v>
      </c>
      <c r="P57" s="106">
        <f t="shared" si="17"/>
        <v>0</v>
      </c>
      <c r="Q57" s="104"/>
      <c r="R57" s="37"/>
      <c r="S57" s="37">
        <f>#N/A</f>
        <v>0</v>
      </c>
    </row>
    <row r="58" spans="1:19" s="6" customFormat="1" ht="18" hidden="1">
      <c r="A58" s="8"/>
      <c r="B58" s="50" t="s">
        <v>96</v>
      </c>
      <c r="C58" s="123">
        <v>22090400</v>
      </c>
      <c r="D58" s="103">
        <v>200</v>
      </c>
      <c r="E58" s="103">
        <v>130</v>
      </c>
      <c r="F58" s="140">
        <v>83.86</v>
      </c>
      <c r="G58" s="103">
        <f t="shared" si="16"/>
        <v>-46.14</v>
      </c>
      <c r="H58" s="164">
        <f t="shared" si="18"/>
        <v>64.50769230769231</v>
      </c>
      <c r="I58" s="104">
        <f t="shared" si="19"/>
        <v>-116.14</v>
      </c>
      <c r="J58" s="104">
        <f t="shared" si="23"/>
        <v>41.93</v>
      </c>
      <c r="K58" s="104">
        <v>3777.19</v>
      </c>
      <c r="L58" s="165">
        <f t="shared" si="20"/>
        <v>-3693.33</v>
      </c>
      <c r="M58" s="218">
        <f t="shared" si="21"/>
        <v>0.02220168961582552</v>
      </c>
      <c r="N58" s="105">
        <f>E58-липень!E58</f>
        <v>20</v>
      </c>
      <c r="O58" s="144">
        <f>F58-липень!F58</f>
        <v>14.010000000000005</v>
      </c>
      <c r="P58" s="106">
        <f t="shared" si="17"/>
        <v>-5.989999999999995</v>
      </c>
      <c r="Q58" s="104">
        <f t="shared" si="22"/>
        <v>0.7005000000000002</v>
      </c>
      <c r="R58" s="37"/>
      <c r="S58" s="37">
        <f>#N/A</f>
        <v>0</v>
      </c>
    </row>
    <row r="59" spans="1:19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50">
        <f t="shared" si="16"/>
        <v>-0.45999999999999996</v>
      </c>
      <c r="H59" s="164">
        <f t="shared" si="18"/>
        <v>81.60000000000001</v>
      </c>
      <c r="I59" s="165">
        <f t="shared" si="19"/>
        <v>-0.45999999999999996</v>
      </c>
      <c r="J59" s="165">
        <f t="shared" si="23"/>
        <v>81.60000000000001</v>
      </c>
      <c r="K59" s="165">
        <v>2.46</v>
      </c>
      <c r="L59" s="165">
        <f t="shared" si="20"/>
        <v>-0.41999999999999993</v>
      </c>
      <c r="M59" s="218">
        <f t="shared" si="21"/>
        <v>0.8292682926829269</v>
      </c>
      <c r="N59" s="157">
        <f>E59-липень!E59</f>
        <v>0</v>
      </c>
      <c r="O59" s="160">
        <f>F59-липень!F59</f>
        <v>0</v>
      </c>
      <c r="P59" s="161">
        <f t="shared" si="17"/>
        <v>0</v>
      </c>
      <c r="Q59" s="165"/>
      <c r="R59" s="37">
        <v>0</v>
      </c>
      <c r="S59" s="37">
        <f>#N/A</f>
        <v>0</v>
      </c>
    </row>
    <row r="60" spans="1:19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f>5460+600</f>
        <v>6060</v>
      </c>
      <c r="F60" s="156">
        <v>5877.33</v>
      </c>
      <c r="G60" s="150">
        <f t="shared" si="16"/>
        <v>-182.67000000000007</v>
      </c>
      <c r="H60" s="164">
        <f t="shared" si="18"/>
        <v>96.98564356435644</v>
      </c>
      <c r="I60" s="165">
        <f t="shared" si="19"/>
        <v>-1472.67</v>
      </c>
      <c r="J60" s="165">
        <f t="shared" si="23"/>
        <v>79.96367346938776</v>
      </c>
      <c r="K60" s="165">
        <v>4601.83</v>
      </c>
      <c r="L60" s="165">
        <f t="shared" si="20"/>
        <v>1275.5</v>
      </c>
      <c r="M60" s="218">
        <f t="shared" si="21"/>
        <v>1.2771723423072996</v>
      </c>
      <c r="N60" s="157">
        <f>E60-липень!E60</f>
        <v>600</v>
      </c>
      <c r="O60" s="160">
        <f>F60-липень!F60</f>
        <v>439.1300000000001</v>
      </c>
      <c r="P60" s="161">
        <f t="shared" si="17"/>
        <v>-160.8699999999999</v>
      </c>
      <c r="Q60" s="165">
        <f t="shared" si="22"/>
        <v>0.7318833333333336</v>
      </c>
      <c r="R60" s="37">
        <v>500</v>
      </c>
      <c r="S60" s="37">
        <f>#N/A</f>
        <v>-468.89999999999964</v>
      </c>
    </row>
    <row r="61" spans="1:19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50">
        <f t="shared" si="16"/>
        <v>0</v>
      </c>
      <c r="H61" s="164" t="e">
        <f t="shared" si="18"/>
        <v>#DIV/0!</v>
      </c>
      <c r="I61" s="165">
        <f t="shared" si="19"/>
        <v>0</v>
      </c>
      <c r="J61" s="165" t="e">
        <f t="shared" si="23"/>
        <v>#DIV/0!</v>
      </c>
      <c r="K61" s="165">
        <v>0</v>
      </c>
      <c r="L61" s="165">
        <f t="shared" si="20"/>
        <v>0</v>
      </c>
      <c r="M61" s="218" t="e">
        <f t="shared" si="21"/>
        <v>#DIV/0!</v>
      </c>
      <c r="N61" s="157">
        <f>E61-липень!E61</f>
        <v>0</v>
      </c>
      <c r="O61" s="160">
        <f>F61-липень!F61</f>
        <v>0</v>
      </c>
      <c r="P61" s="161">
        <f t="shared" si="17"/>
        <v>0</v>
      </c>
      <c r="Q61" s="165" t="e">
        <f t="shared" si="22"/>
        <v>#DIV/0!</v>
      </c>
      <c r="R61" s="37"/>
      <c r="S61" s="37">
        <f>#N/A</f>
        <v>0</v>
      </c>
    </row>
    <row r="62" spans="1:19" s="6" customFormat="1" ht="30.75">
      <c r="A62" s="8"/>
      <c r="B62" s="50" t="s">
        <v>42</v>
      </c>
      <c r="C62" s="61"/>
      <c r="D62" s="103"/>
      <c r="E62" s="103"/>
      <c r="F62" s="201">
        <v>1406.85</v>
      </c>
      <c r="G62" s="253">
        <f t="shared" si="16"/>
        <v>1406.85</v>
      </c>
      <c r="H62" s="164"/>
      <c r="I62" s="254">
        <f t="shared" si="19"/>
        <v>1406.85</v>
      </c>
      <c r="J62" s="165"/>
      <c r="K62" s="166">
        <v>889.8</v>
      </c>
      <c r="L62" s="254">
        <f t="shared" si="20"/>
        <v>517.05</v>
      </c>
      <c r="M62" s="305">
        <f t="shared" si="21"/>
        <v>1.5810856372218476</v>
      </c>
      <c r="N62" s="195">
        <f>E62-липень!E62</f>
        <v>0</v>
      </c>
      <c r="O62" s="179">
        <f>F62-липень!F62</f>
        <v>171.76999999999998</v>
      </c>
      <c r="P62" s="166">
        <f t="shared" si="17"/>
        <v>171.76999999999998</v>
      </c>
      <c r="Q62" s="254"/>
      <c r="R62" s="37"/>
      <c r="S62" s="37">
        <f>#N/A</f>
        <v>15</v>
      </c>
    </row>
    <row r="63" spans="1:19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50">
        <f t="shared" si="16"/>
        <v>0</v>
      </c>
      <c r="H63" s="164" t="e">
        <f t="shared" si="18"/>
        <v>#DIV/0!</v>
      </c>
      <c r="I63" s="165">
        <f t="shared" si="19"/>
        <v>0</v>
      </c>
      <c r="J63" s="165" t="e">
        <f t="shared" si="23"/>
        <v>#DIV/0!</v>
      </c>
      <c r="K63" s="166">
        <v>0</v>
      </c>
      <c r="L63" s="165">
        <f t="shared" si="20"/>
        <v>0</v>
      </c>
      <c r="M63" s="218" t="e">
        <f t="shared" si="21"/>
        <v>#DIV/0!</v>
      </c>
      <c r="N63" s="157">
        <f>E63-липень!E63</f>
        <v>0</v>
      </c>
      <c r="O63" s="160">
        <f>F63-липень!F63</f>
        <v>0</v>
      </c>
      <c r="P63" s="161">
        <f t="shared" si="17"/>
        <v>0</v>
      </c>
      <c r="Q63" s="165" t="e">
        <f t="shared" si="22"/>
        <v>#DIV/0!</v>
      </c>
      <c r="R63" s="37"/>
      <c r="S63" s="37">
        <f>#N/A</f>
        <v>0</v>
      </c>
    </row>
    <row r="64" spans="1:19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80</v>
      </c>
      <c r="F64" s="156">
        <v>60.14</v>
      </c>
      <c r="G64" s="150">
        <f t="shared" si="16"/>
        <v>-19.86</v>
      </c>
      <c r="H64" s="164">
        <f t="shared" si="18"/>
        <v>75.175</v>
      </c>
      <c r="I64" s="165">
        <f t="shared" si="19"/>
        <v>-99.86</v>
      </c>
      <c r="J64" s="165">
        <f t="shared" si="23"/>
        <v>37.5875</v>
      </c>
      <c r="K64" s="165">
        <v>152.27</v>
      </c>
      <c r="L64" s="165">
        <f t="shared" si="20"/>
        <v>-92.13000000000001</v>
      </c>
      <c r="M64" s="218">
        <f t="shared" si="21"/>
        <v>0.3949563275760163</v>
      </c>
      <c r="N64" s="157">
        <f>E64-липень!E64</f>
        <v>30</v>
      </c>
      <c r="O64" s="160">
        <f>F64-липень!F64</f>
        <v>0</v>
      </c>
      <c r="P64" s="161">
        <f t="shared" si="17"/>
        <v>-30</v>
      </c>
      <c r="Q64" s="165">
        <f t="shared" si="22"/>
        <v>0</v>
      </c>
      <c r="R64" s="37">
        <v>0</v>
      </c>
      <c r="S64" s="37">
        <f>#N/A</f>
        <v>0</v>
      </c>
    </row>
    <row r="65" spans="1:19" s="6" customFormat="1" ht="18">
      <c r="A65" s="8"/>
      <c r="B65" s="12" t="s">
        <v>44</v>
      </c>
      <c r="C65" s="43">
        <v>31010200</v>
      </c>
      <c r="D65" s="150">
        <v>15</v>
      </c>
      <c r="E65" s="150">
        <f>8.8+1.3</f>
        <v>10.100000000000001</v>
      </c>
      <c r="F65" s="156">
        <v>30.95</v>
      </c>
      <c r="G65" s="150">
        <f t="shared" si="16"/>
        <v>20.849999999999998</v>
      </c>
      <c r="H65" s="164">
        <f t="shared" si="18"/>
        <v>306.4356435643564</v>
      </c>
      <c r="I65" s="165">
        <f t="shared" si="19"/>
        <v>15.95</v>
      </c>
      <c r="J65" s="165">
        <f t="shared" si="23"/>
        <v>206.33333333333334</v>
      </c>
      <c r="K65" s="165">
        <v>13.42</v>
      </c>
      <c r="L65" s="165">
        <f t="shared" si="20"/>
        <v>17.53</v>
      </c>
      <c r="M65" s="218">
        <f t="shared" si="21"/>
        <v>2.3062593144560357</v>
      </c>
      <c r="N65" s="157">
        <f>E65-липень!E65</f>
        <v>1.3000000000000007</v>
      </c>
      <c r="O65" s="160">
        <f>F65-липень!F65</f>
        <v>2.41</v>
      </c>
      <c r="P65" s="161">
        <f t="shared" si="17"/>
        <v>1.1099999999999994</v>
      </c>
      <c r="Q65" s="165">
        <f t="shared" si="22"/>
        <v>1.853846153846153</v>
      </c>
      <c r="R65" s="37">
        <v>3.2</v>
      </c>
      <c r="S65" s="37">
        <f>#N/A</f>
        <v>-3.2</v>
      </c>
    </row>
    <row r="66" spans="1:19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-5.17</v>
      </c>
      <c r="G66" s="150">
        <f t="shared" si="16"/>
        <v>-5.17</v>
      </c>
      <c r="H66" s="164"/>
      <c r="I66" s="165">
        <f t="shared" si="19"/>
        <v>-5.17</v>
      </c>
      <c r="J66" s="165"/>
      <c r="K66" s="165">
        <v>1.03</v>
      </c>
      <c r="L66" s="165">
        <f t="shared" si="20"/>
        <v>-6.2</v>
      </c>
      <c r="M66" s="218">
        <f t="shared" si="21"/>
        <v>-5.019417475728155</v>
      </c>
      <c r="N66" s="157">
        <f>E66-липень!E66</f>
        <v>0</v>
      </c>
      <c r="O66" s="160">
        <f>F66-липень!F66</f>
        <v>0.08000000000000007</v>
      </c>
      <c r="P66" s="161">
        <f t="shared" si="17"/>
        <v>0.08000000000000007</v>
      </c>
      <c r="Q66" s="165"/>
      <c r="R66" s="37">
        <v>0</v>
      </c>
      <c r="S66" s="37">
        <f>#N/A</f>
        <v>0</v>
      </c>
    </row>
    <row r="67" spans="1:19" s="6" customFormat="1" ht="17.25">
      <c r="A67" s="9"/>
      <c r="B67" s="14" t="s">
        <v>184</v>
      </c>
      <c r="C67" s="62"/>
      <c r="D67" s="151">
        <f>D8+D41+D65+D66</f>
        <v>1357491.1</v>
      </c>
      <c r="E67" s="151">
        <f>E8+E41+E65+E66</f>
        <v>886398.7999999999</v>
      </c>
      <c r="F67" s="151">
        <f>F8+F41+F65+F66</f>
        <v>885514.16</v>
      </c>
      <c r="G67" s="151">
        <f>F67-E67</f>
        <v>-884.6399999998976</v>
      </c>
      <c r="H67" s="152">
        <f>F67/E67*100</f>
        <v>99.90019842084625</v>
      </c>
      <c r="I67" s="153">
        <f>F67-D67</f>
        <v>-471976.94000000006</v>
      </c>
      <c r="J67" s="153">
        <f>F67/D67*100</f>
        <v>65.2316733420941</v>
      </c>
      <c r="K67" s="151">
        <v>676523.63</v>
      </c>
      <c r="L67" s="153">
        <f>F67-K67</f>
        <v>208990.53000000003</v>
      </c>
      <c r="M67" s="219">
        <f>F67/K67</f>
        <v>1.308918300459069</v>
      </c>
      <c r="N67" s="151">
        <f>N8+N41+N65+N66</f>
        <v>123856.1</v>
      </c>
      <c r="O67" s="151">
        <f>O8+O41+O65+O66</f>
        <v>119454.43000000008</v>
      </c>
      <c r="P67" s="194">
        <f>O67-N67</f>
        <v>-4401.6699999999255</v>
      </c>
      <c r="Q67" s="153">
        <f>O67/N67*100</f>
        <v>96.4461419340671</v>
      </c>
      <c r="R67" s="27">
        <f>R8+R41+R65+R66</f>
        <v>108115.7</v>
      </c>
      <c r="S67" s="280">
        <f>O67-R67</f>
        <v>11338.730000000083</v>
      </c>
    </row>
    <row r="68" spans="1:19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47"/>
      <c r="O68" s="46"/>
      <c r="P68" s="79"/>
      <c r="Q68" s="35"/>
      <c r="R68" s="35"/>
      <c r="S68" s="35"/>
    </row>
    <row r="69" spans="1:19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0"/>
      <c r="O69" s="46"/>
      <c r="P69" s="59"/>
      <c r="Q69" s="35"/>
      <c r="R69" s="35"/>
      <c r="S69" s="35"/>
    </row>
    <row r="70" spans="1:19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0"/>
      <c r="O70" s="57"/>
      <c r="P70" s="79"/>
      <c r="Q70" s="35"/>
      <c r="R70" s="35"/>
      <c r="S70" s="35"/>
    </row>
    <row r="71" spans="2:19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1"/>
      <c r="O71" s="146"/>
      <c r="P71" s="36"/>
      <c r="Q71" s="38"/>
      <c r="R71" s="38"/>
      <c r="S71" s="38"/>
    </row>
    <row r="72" spans="2:19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>
        <v>-3.83</v>
      </c>
      <c r="L72" s="167">
        <f>F72-K72</f>
        <v>3.84</v>
      </c>
      <c r="M72" s="209">
        <f>F72/K72</f>
        <v>-0.0026109660574412533</v>
      </c>
      <c r="N72" s="162">
        <f>E72-квітень!E72</f>
        <v>0</v>
      </c>
      <c r="O72" s="182">
        <f>F72-квітень!F72</f>
        <v>0</v>
      </c>
      <c r="P72" s="167"/>
      <c r="Q72" s="167"/>
      <c r="R72" s="38"/>
      <c r="S72" s="38"/>
    </row>
    <row r="73" spans="2:19" ht="31.5">
      <c r="B73" s="23" t="s">
        <v>62</v>
      </c>
      <c r="C73" s="73">
        <v>18041500</v>
      </c>
      <c r="D73" s="180">
        <v>0</v>
      </c>
      <c r="E73" s="180"/>
      <c r="F73" s="181">
        <v>-2.64</v>
      </c>
      <c r="G73" s="162">
        <f>F73-E73</f>
        <v>-2.64</v>
      </c>
      <c r="H73" s="164"/>
      <c r="I73" s="167">
        <f aca="true" t="shared" si="24" ref="I73:I80">F73-D73</f>
        <v>-2.64</v>
      </c>
      <c r="J73" s="167"/>
      <c r="K73" s="167">
        <v>-3.83</v>
      </c>
      <c r="L73" s="167">
        <f>F73-K73</f>
        <v>1.19</v>
      </c>
      <c r="M73" s="209">
        <f>F73/K73</f>
        <v>0.6892950391644909</v>
      </c>
      <c r="N73" s="162">
        <f>E73-червень!E73</f>
        <v>0</v>
      </c>
      <c r="O73" s="160">
        <f>F73-липень!F73</f>
        <v>0</v>
      </c>
      <c r="P73" s="167">
        <f>O73-N73</f>
        <v>0</v>
      </c>
      <c r="Q73" s="167"/>
      <c r="R73" s="38"/>
      <c r="S73" s="38"/>
    </row>
    <row r="74" spans="2:19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-2.6300000000000003</v>
      </c>
      <c r="G74" s="185">
        <f>F74-E74</f>
        <v>-2.6300000000000003</v>
      </c>
      <c r="H74" s="186"/>
      <c r="I74" s="187">
        <f t="shared" si="24"/>
        <v>-2.6300000000000003</v>
      </c>
      <c r="J74" s="187"/>
      <c r="K74" s="187">
        <v>-3.8200000000000003</v>
      </c>
      <c r="L74" s="187">
        <f aca="true" t="shared" si="25" ref="L74:L86">F74-K74</f>
        <v>1.19</v>
      </c>
      <c r="M74" s="214">
        <f aca="true" t="shared" si="26" ref="M74:M89">F74/K74</f>
        <v>0.6884816753926702</v>
      </c>
      <c r="N74" s="185">
        <f>SUM(N72:N73)</f>
        <v>0</v>
      </c>
      <c r="O74" s="188">
        <f>SUM(O72:O73)</f>
        <v>0</v>
      </c>
      <c r="P74" s="187">
        <f>O74-N74</f>
        <v>0</v>
      </c>
      <c r="Q74" s="187"/>
      <c r="R74" s="39"/>
      <c r="S74" s="39"/>
    </row>
    <row r="75" spans="2:19" ht="45.7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62">
        <f aca="true" t="shared" si="27" ref="G75:G86">F75-E75</f>
        <v>35.57</v>
      </c>
      <c r="H75" s="186"/>
      <c r="I75" s="187">
        <f t="shared" si="24"/>
        <v>35.57</v>
      </c>
      <c r="J75" s="187"/>
      <c r="K75" s="187">
        <v>0</v>
      </c>
      <c r="L75" s="187">
        <f t="shared" si="25"/>
        <v>35.57</v>
      </c>
      <c r="M75" s="209"/>
      <c r="N75" s="186">
        <f>E75-червень!E75</f>
        <v>0</v>
      </c>
      <c r="O75" s="289">
        <f>F75-липень!F75</f>
        <v>0</v>
      </c>
      <c r="P75" s="187">
        <f aca="true" t="shared" si="28" ref="P75:P86">O75-N75</f>
        <v>0</v>
      </c>
      <c r="Q75" s="187"/>
      <c r="R75" s="38"/>
      <c r="S75" s="38"/>
    </row>
    <row r="76" spans="2:19" ht="31.5">
      <c r="B76" s="23" t="s">
        <v>29</v>
      </c>
      <c r="C76" s="73">
        <v>31030000</v>
      </c>
      <c r="D76" s="180">
        <f>4000+100206.03</f>
        <v>104206.03</v>
      </c>
      <c r="E76" s="180">
        <f>13500+4500</f>
        <v>18000</v>
      </c>
      <c r="F76" s="181">
        <v>3.81</v>
      </c>
      <c r="G76" s="162">
        <f t="shared" si="27"/>
        <v>-17996.19</v>
      </c>
      <c r="H76" s="164">
        <f>F76/E76*100</f>
        <v>0.021166666666666667</v>
      </c>
      <c r="I76" s="167">
        <f t="shared" si="24"/>
        <v>-104202.22</v>
      </c>
      <c r="J76" s="167">
        <f>F76/D76*100</f>
        <v>0.0036562183589567707</v>
      </c>
      <c r="K76" s="167">
        <v>1535.17</v>
      </c>
      <c r="L76" s="167">
        <f t="shared" si="25"/>
        <v>-1531.3600000000001</v>
      </c>
      <c r="M76" s="209">
        <f t="shared" si="26"/>
        <v>0.0024818098321358548</v>
      </c>
      <c r="N76" s="157">
        <f>E76-липень!E76</f>
        <v>4500</v>
      </c>
      <c r="O76" s="160">
        <f>F76-липень!F76</f>
        <v>0.040000000000000036</v>
      </c>
      <c r="P76" s="167">
        <f t="shared" si="28"/>
        <v>-4499.96</v>
      </c>
      <c r="Q76" s="167">
        <f>O76/N76*100</f>
        <v>0.0008888888888888897</v>
      </c>
      <c r="R76" s="38">
        <v>0</v>
      </c>
      <c r="S76" s="38">
        <f>#N/A</f>
        <v>0</v>
      </c>
    </row>
    <row r="77" spans="2:19" ht="18">
      <c r="B77" s="23" t="s">
        <v>30</v>
      </c>
      <c r="C77" s="73">
        <v>33010000</v>
      </c>
      <c r="D77" s="180">
        <f>8000+46000</f>
        <v>54000</v>
      </c>
      <c r="E77" s="180">
        <f>19230+3600</f>
        <v>22830</v>
      </c>
      <c r="F77" s="181">
        <v>5970.15</v>
      </c>
      <c r="G77" s="162">
        <f t="shared" si="27"/>
        <v>-16859.85</v>
      </c>
      <c r="H77" s="164">
        <f>F77/E77*100</f>
        <v>26.150459921156372</v>
      </c>
      <c r="I77" s="167">
        <f t="shared" si="24"/>
        <v>-48029.85</v>
      </c>
      <c r="J77" s="167">
        <f>F77/D77*100</f>
        <v>11.055833333333332</v>
      </c>
      <c r="K77" s="167">
        <v>6783.53</v>
      </c>
      <c r="L77" s="167">
        <f t="shared" si="25"/>
        <v>-813.3800000000001</v>
      </c>
      <c r="M77" s="209">
        <f t="shared" si="26"/>
        <v>0.8800948768561501</v>
      </c>
      <c r="N77" s="157">
        <f>E77-липень!E77</f>
        <v>3600</v>
      </c>
      <c r="O77" s="160">
        <f>F77-липень!F77</f>
        <v>63.9399999999996</v>
      </c>
      <c r="P77" s="167">
        <f t="shared" si="28"/>
        <v>-3536.0600000000004</v>
      </c>
      <c r="Q77" s="167">
        <f>O77/N77*100</f>
        <v>1.7761111111110999</v>
      </c>
      <c r="R77" s="38">
        <v>200</v>
      </c>
      <c r="S77" s="38">
        <f>#N/A</f>
        <v>-200</v>
      </c>
    </row>
    <row r="78" spans="2:19" ht="31.5">
      <c r="B78" s="23" t="s">
        <v>54</v>
      </c>
      <c r="C78" s="73">
        <v>24170000</v>
      </c>
      <c r="D78" s="180">
        <f>10000+69000</f>
        <v>79000</v>
      </c>
      <c r="E78" s="180">
        <f>20050+3850</f>
        <v>23900</v>
      </c>
      <c r="F78" s="181">
        <v>8033.92</v>
      </c>
      <c r="G78" s="162">
        <f t="shared" si="27"/>
        <v>-15866.08</v>
      </c>
      <c r="H78" s="164">
        <f>F78/E78*100</f>
        <v>33.6147280334728</v>
      </c>
      <c r="I78" s="167">
        <f t="shared" si="24"/>
        <v>-70966.08</v>
      </c>
      <c r="J78" s="167">
        <f>F78/D78*100</f>
        <v>10.169518987341771</v>
      </c>
      <c r="K78" s="167">
        <v>10477.14</v>
      </c>
      <c r="L78" s="167">
        <f t="shared" si="25"/>
        <v>-2443.2199999999993</v>
      </c>
      <c r="M78" s="209">
        <f t="shared" si="26"/>
        <v>0.7668046814302377</v>
      </c>
      <c r="N78" s="157">
        <f>E78-липень!E78</f>
        <v>3850</v>
      </c>
      <c r="O78" s="160">
        <f>F78-липень!F78</f>
        <v>1062.62</v>
      </c>
      <c r="P78" s="167">
        <f t="shared" si="28"/>
        <v>-2787.38</v>
      </c>
      <c r="Q78" s="167">
        <f>O78/N78*100</f>
        <v>27.600519480519477</v>
      </c>
      <c r="R78" s="38">
        <v>1500</v>
      </c>
      <c r="S78" s="38">
        <f>#N/A</f>
        <v>-1495.5</v>
      </c>
    </row>
    <row r="79" spans="2:19" ht="18">
      <c r="B79" s="23" t="s">
        <v>101</v>
      </c>
      <c r="C79" s="73">
        <v>24110700</v>
      </c>
      <c r="D79" s="180">
        <v>12</v>
      </c>
      <c r="E79" s="180">
        <v>8</v>
      </c>
      <c r="F79" s="181">
        <v>9</v>
      </c>
      <c r="G79" s="162">
        <f t="shared" si="27"/>
        <v>1</v>
      </c>
      <c r="H79" s="164">
        <f>F79/E79*100</f>
        <v>112.5</v>
      </c>
      <c r="I79" s="167">
        <f t="shared" si="24"/>
        <v>-3</v>
      </c>
      <c r="J79" s="167">
        <f>F79/D79*100</f>
        <v>75</v>
      </c>
      <c r="K79" s="167">
        <v>6</v>
      </c>
      <c r="L79" s="167">
        <f t="shared" si="25"/>
        <v>3</v>
      </c>
      <c r="M79" s="209">
        <f t="shared" si="26"/>
        <v>1.5</v>
      </c>
      <c r="N79" s="157">
        <f>E79-липень!E79</f>
        <v>1</v>
      </c>
      <c r="O79" s="160">
        <f>F79-липень!F79</f>
        <v>1</v>
      </c>
      <c r="P79" s="167">
        <f t="shared" si="28"/>
        <v>0</v>
      </c>
      <c r="Q79" s="167">
        <f>O79/N79*100</f>
        <v>100</v>
      </c>
      <c r="R79" s="38">
        <v>1</v>
      </c>
      <c r="S79" s="38">
        <f>#N/A</f>
        <v>-1</v>
      </c>
    </row>
    <row r="80" spans="2:19" ht="33">
      <c r="B80" s="28" t="s">
        <v>51</v>
      </c>
      <c r="C80" s="65"/>
      <c r="D80" s="183">
        <f>D76+D77+D78+D79</f>
        <v>237218.03</v>
      </c>
      <c r="E80" s="183">
        <f>E76+E77+E78+E79</f>
        <v>64738</v>
      </c>
      <c r="F80" s="184">
        <f>F76+F77+F78+F79</f>
        <v>14016.880000000001</v>
      </c>
      <c r="G80" s="185">
        <f t="shared" si="27"/>
        <v>-50721.119999999995</v>
      </c>
      <c r="H80" s="186">
        <f>F80/E80*100</f>
        <v>21.65170379066391</v>
      </c>
      <c r="I80" s="187">
        <f t="shared" si="24"/>
        <v>-223201.15</v>
      </c>
      <c r="J80" s="187">
        <f>F80/D80*100</f>
        <v>5.9088594572680675</v>
      </c>
      <c r="K80" s="187">
        <v>18801.84</v>
      </c>
      <c r="L80" s="167">
        <f t="shared" si="25"/>
        <v>-4784.959999999999</v>
      </c>
      <c r="M80" s="209">
        <f t="shared" si="26"/>
        <v>0.7455057590108203</v>
      </c>
      <c r="N80" s="185">
        <f>N76+N77+N78+N79</f>
        <v>11951</v>
      </c>
      <c r="O80" s="189">
        <f>O76+O77+O78+O79</f>
        <v>1127.5999999999995</v>
      </c>
      <c r="P80" s="187">
        <f t="shared" si="28"/>
        <v>-10823.400000000001</v>
      </c>
      <c r="Q80" s="187">
        <f>O80/N80*100</f>
        <v>9.435193707639524</v>
      </c>
      <c r="R80" s="39">
        <f>SUM(R76:R79)</f>
        <v>1701</v>
      </c>
      <c r="S80" s="39">
        <f>#N/A</f>
        <v>-1696.5</v>
      </c>
    </row>
    <row r="81" spans="2:19" ht="46.5">
      <c r="B81" s="12" t="s">
        <v>40</v>
      </c>
      <c r="C81" s="75">
        <v>24062100</v>
      </c>
      <c r="D81" s="180">
        <v>40</v>
      </c>
      <c r="E81" s="180">
        <v>4</v>
      </c>
      <c r="F81" s="181">
        <v>38.14</v>
      </c>
      <c r="G81" s="162">
        <f t="shared" si="27"/>
        <v>34.14</v>
      </c>
      <c r="H81" s="164"/>
      <c r="I81" s="167">
        <f>#N/A</f>
        <v>-1.8599999999999994</v>
      </c>
      <c r="J81" s="167"/>
      <c r="K81" s="167">
        <v>5.67</v>
      </c>
      <c r="L81" s="167">
        <f t="shared" si="25"/>
        <v>32.47</v>
      </c>
      <c r="M81" s="209">
        <f t="shared" si="26"/>
        <v>6.72663139329806</v>
      </c>
      <c r="N81" s="157">
        <f>E81-липень!E81</f>
        <v>0</v>
      </c>
      <c r="O81" s="160">
        <f>F81-липень!F81</f>
        <v>0</v>
      </c>
      <c r="P81" s="167">
        <f t="shared" si="28"/>
        <v>0</v>
      </c>
      <c r="Q81" s="167"/>
      <c r="R81" s="38">
        <v>1</v>
      </c>
      <c r="S81" s="38">
        <f>#N/A</f>
        <v>-1</v>
      </c>
    </row>
    <row r="82" spans="2:19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 t="shared" si="27"/>
        <v>0</v>
      </c>
      <c r="H82" s="164"/>
      <c r="I82" s="167">
        <f>#N/A</f>
        <v>0</v>
      </c>
      <c r="J82" s="190"/>
      <c r="K82" s="167">
        <v>0</v>
      </c>
      <c r="L82" s="167">
        <f t="shared" si="25"/>
        <v>0</v>
      </c>
      <c r="M82" s="209" t="e">
        <f t="shared" si="26"/>
        <v>#DIV/0!</v>
      </c>
      <c r="N82" s="157">
        <f>E82-липень!E82</f>
        <v>0</v>
      </c>
      <c r="O82" s="160">
        <f>F82-липень!F82</f>
        <v>0</v>
      </c>
      <c r="P82" s="167">
        <f t="shared" si="28"/>
        <v>0</v>
      </c>
      <c r="Q82" s="190"/>
      <c r="R82" s="41"/>
      <c r="S82" s="38">
        <f>#N/A</f>
        <v>0</v>
      </c>
    </row>
    <row r="83" spans="2:19" ht="18">
      <c r="B83" s="23" t="s">
        <v>46</v>
      </c>
      <c r="C83" s="73">
        <v>19010000</v>
      </c>
      <c r="D83" s="180">
        <v>8360</v>
      </c>
      <c r="E83" s="180">
        <f>4510.8+1882.4</f>
        <v>6393.200000000001</v>
      </c>
      <c r="F83" s="181">
        <v>6573.76</v>
      </c>
      <c r="G83" s="162">
        <f t="shared" si="27"/>
        <v>180.5599999999995</v>
      </c>
      <c r="H83" s="164">
        <f>F83/E83*100</f>
        <v>102.82425076643933</v>
      </c>
      <c r="I83" s="167">
        <f>#N/A</f>
        <v>-3240.5</v>
      </c>
      <c r="J83" s="167">
        <f>F83/D83*100</f>
        <v>78.63349282296652</v>
      </c>
      <c r="K83" s="167">
        <v>6824.83</v>
      </c>
      <c r="L83" s="167">
        <f t="shared" si="25"/>
        <v>-251.0699999999997</v>
      </c>
      <c r="M83" s="209">
        <f t="shared" si="26"/>
        <v>0.9632122704887888</v>
      </c>
      <c r="N83" s="157">
        <f>E83-липень!E83</f>
        <v>1882.4000000000005</v>
      </c>
      <c r="O83" s="160">
        <f>F83-липень!F83</f>
        <v>1460.0600000000004</v>
      </c>
      <c r="P83" s="167">
        <f t="shared" si="28"/>
        <v>-422.34000000000015</v>
      </c>
      <c r="Q83" s="167">
        <f>O83/N83*100</f>
        <v>77.56374840628985</v>
      </c>
      <c r="R83" s="41">
        <v>2850</v>
      </c>
      <c r="S83" s="288">
        <f>#N/A</f>
        <v>-2844.2</v>
      </c>
    </row>
    <row r="84" spans="2:19" ht="31.5">
      <c r="B84" s="23" t="s">
        <v>50</v>
      </c>
      <c r="C84" s="73">
        <v>19050000</v>
      </c>
      <c r="D84" s="180">
        <v>0</v>
      </c>
      <c r="E84" s="180"/>
      <c r="F84" s="181">
        <v>0.08</v>
      </c>
      <c r="G84" s="162">
        <f t="shared" si="27"/>
        <v>0.08</v>
      </c>
      <c r="H84" s="164"/>
      <c r="I84" s="167">
        <f>#N/A</f>
        <v>0.05</v>
      </c>
      <c r="J84" s="167"/>
      <c r="K84" s="167">
        <v>1.09</v>
      </c>
      <c r="L84" s="167">
        <f t="shared" si="25"/>
        <v>-1.01</v>
      </c>
      <c r="M84" s="209">
        <f t="shared" si="26"/>
        <v>0.07339449541284403</v>
      </c>
      <c r="N84" s="157">
        <f>E84-липень!E84</f>
        <v>0</v>
      </c>
      <c r="O84" s="160">
        <f>F84-липень!F84</f>
        <v>0.03</v>
      </c>
      <c r="P84" s="167">
        <f t="shared" si="28"/>
        <v>0.03</v>
      </c>
      <c r="Q84" s="190"/>
      <c r="R84" s="38">
        <v>0</v>
      </c>
      <c r="S84" s="38">
        <f>#N/A</f>
        <v>0</v>
      </c>
    </row>
    <row r="85" spans="2:19" ht="30.75">
      <c r="B85" s="28" t="s">
        <v>47</v>
      </c>
      <c r="C85" s="73"/>
      <c r="D85" s="183">
        <f>D81+D84+D82+D83</f>
        <v>8400</v>
      </c>
      <c r="E85" s="183">
        <f>E81+E84+E82+E83</f>
        <v>6397.200000000001</v>
      </c>
      <c r="F85" s="184">
        <f>F81+F84+F82+F83</f>
        <v>6611.9800000000005</v>
      </c>
      <c r="G85" s="185">
        <f t="shared" si="27"/>
        <v>214.77999999999975</v>
      </c>
      <c r="H85" s="186">
        <f>F85/E85*100</f>
        <v>103.35740636528482</v>
      </c>
      <c r="I85" s="187">
        <f>#N/A</f>
        <v>-3242.3100000000004</v>
      </c>
      <c r="J85" s="187">
        <f>F85/D85*100</f>
        <v>78.71404761904762</v>
      </c>
      <c r="K85" s="187">
        <v>6831.59</v>
      </c>
      <c r="L85" s="167">
        <f t="shared" si="25"/>
        <v>-219.60999999999967</v>
      </c>
      <c r="M85" s="209">
        <f t="shared" si="26"/>
        <v>0.9678537500054892</v>
      </c>
      <c r="N85" s="185">
        <f>N81+N84+N82+N83</f>
        <v>1882.4000000000005</v>
      </c>
      <c r="O85" s="189">
        <f>O81+O84+O82+O83</f>
        <v>1460.0900000000004</v>
      </c>
      <c r="P85" s="187">
        <f t="shared" si="28"/>
        <v>-422.3100000000002</v>
      </c>
      <c r="Q85" s="187">
        <f>O85/N85*100</f>
        <v>77.56534211644708</v>
      </c>
      <c r="R85" s="39">
        <f>SUM(R81:R84)</f>
        <v>2851</v>
      </c>
      <c r="S85" s="39">
        <f>#N/A</f>
        <v>-2845.2</v>
      </c>
    </row>
    <row r="86" spans="2:19" ht="30.75">
      <c r="B86" s="12" t="s">
        <v>41</v>
      </c>
      <c r="C86" s="43">
        <v>24110900</v>
      </c>
      <c r="D86" s="180">
        <v>38</v>
      </c>
      <c r="E86" s="180">
        <f>24.8+1.6</f>
        <v>26.400000000000002</v>
      </c>
      <c r="F86" s="181">
        <v>17.65</v>
      </c>
      <c r="G86" s="162">
        <f t="shared" si="27"/>
        <v>-8.750000000000004</v>
      </c>
      <c r="H86" s="164">
        <f>F86/E86*100</f>
        <v>66.8560606060606</v>
      </c>
      <c r="I86" s="167">
        <f>#N/A</f>
        <v>-25.57</v>
      </c>
      <c r="J86" s="167">
        <f>F86/D86*100</f>
        <v>46.44736842105262</v>
      </c>
      <c r="K86" s="187">
        <v>19.38</v>
      </c>
      <c r="L86" s="167">
        <f t="shared" si="25"/>
        <v>-1.7300000000000004</v>
      </c>
      <c r="M86" s="209">
        <f t="shared" si="26"/>
        <v>0.9107327141382868</v>
      </c>
      <c r="N86" s="157">
        <f>E86-липень!E86</f>
        <v>1.6000000000000014</v>
      </c>
      <c r="O86" s="160">
        <f>F86-липень!F86</f>
        <v>5.219999999999999</v>
      </c>
      <c r="P86" s="167">
        <f t="shared" si="28"/>
        <v>3.6199999999999974</v>
      </c>
      <c r="Q86" s="167">
        <f>O86/N86*100</f>
        <v>326.2499999999996</v>
      </c>
      <c r="R86" s="38">
        <v>1.2</v>
      </c>
      <c r="S86" s="38">
        <f>#N/A</f>
        <v>-1.2</v>
      </c>
    </row>
    <row r="87" spans="2:19" ht="18" hidden="1">
      <c r="B87" s="122"/>
      <c r="C87" s="43">
        <v>21110000</v>
      </c>
      <c r="D87" s="180">
        <v>0</v>
      </c>
      <c r="E87" s="180">
        <v>0</v>
      </c>
      <c r="F87" s="181"/>
      <c r="G87" s="162">
        <f>#N/A</f>
        <v>0</v>
      </c>
      <c r="H87" s="164"/>
      <c r="I87" s="167">
        <f>#N/A</f>
        <v>0</v>
      </c>
      <c r="J87" s="167"/>
      <c r="K87" s="167">
        <v>18.76</v>
      </c>
      <c r="L87" s="187">
        <f>#N/A</f>
        <v>-18.76</v>
      </c>
      <c r="M87" s="209">
        <f t="shared" si="26"/>
        <v>0</v>
      </c>
      <c r="N87" s="164">
        <f>E87-квітень!E87</f>
        <v>0</v>
      </c>
      <c r="O87" s="168">
        <f>F87-квітень!F87</f>
        <v>0</v>
      </c>
      <c r="P87" s="167">
        <f>#N/A</f>
        <v>0</v>
      </c>
      <c r="Q87" s="167"/>
      <c r="R87" s="38">
        <v>0</v>
      </c>
      <c r="S87" s="38">
        <f>#N/A</f>
        <v>0</v>
      </c>
    </row>
    <row r="88" spans="2:19" ht="23.25" customHeight="1">
      <c r="B88" s="14" t="s">
        <v>31</v>
      </c>
      <c r="C88" s="66"/>
      <c r="D88" s="191">
        <f>D74+D75+D80+D85+D86</f>
        <v>245656.03</v>
      </c>
      <c r="E88" s="191">
        <f>E74+E75+E80+E85+E86</f>
        <v>71161.59999999999</v>
      </c>
      <c r="F88" s="191">
        <f>F74+F75+F80+F85+F86</f>
        <v>20679.450000000004</v>
      </c>
      <c r="G88" s="192">
        <f>F88-E88</f>
        <v>-50482.14999999999</v>
      </c>
      <c r="H88" s="193">
        <f>F88/E88*100</f>
        <v>29.05984407320803</v>
      </c>
      <c r="I88" s="194">
        <f>F88-D88</f>
        <v>-224976.58</v>
      </c>
      <c r="J88" s="194">
        <f>F88/D88*100</f>
        <v>8.418051044788115</v>
      </c>
      <c r="K88" s="191">
        <v>25648.99</v>
      </c>
      <c r="L88" s="301">
        <f>F88-K88</f>
        <v>-4969.539999999997</v>
      </c>
      <c r="M88" s="302">
        <f t="shared" si="26"/>
        <v>0.8062481212710522</v>
      </c>
      <c r="N88" s="191">
        <f>N74+N75+N80+N85+N86</f>
        <v>13835.000000000002</v>
      </c>
      <c r="O88" s="191">
        <f>O74+O75+O80+O85+O86</f>
        <v>2592.9099999999994</v>
      </c>
      <c r="P88" s="194">
        <f>#N/A</f>
        <v>-13824.7</v>
      </c>
      <c r="Q88" s="194">
        <f>O88/N88*100</f>
        <v>18.741669678352</v>
      </c>
      <c r="R88" s="27">
        <f>R80+R85+R86+R87</f>
        <v>4553.2</v>
      </c>
      <c r="S88" s="27">
        <f>S80+S85+S86+S87</f>
        <v>-4542.9</v>
      </c>
    </row>
    <row r="89" spans="2:19" ht="17.25">
      <c r="B89" s="21" t="s">
        <v>182</v>
      </c>
      <c r="C89" s="66"/>
      <c r="D89" s="191">
        <f>D67+D88</f>
        <v>1603147.1300000001</v>
      </c>
      <c r="E89" s="191">
        <f>E67+E88</f>
        <v>957560.3999999999</v>
      </c>
      <c r="F89" s="191">
        <f>F67+F88</f>
        <v>906193.61</v>
      </c>
      <c r="G89" s="192">
        <f>F89-E89</f>
        <v>-51366.78999999992</v>
      </c>
      <c r="H89" s="193">
        <f>F89/E89*100</f>
        <v>94.63566058078426</v>
      </c>
      <c r="I89" s="194">
        <f>F89-D89</f>
        <v>-696953.5200000001</v>
      </c>
      <c r="J89" s="194">
        <f>F89/D89*100</f>
        <v>56.52591662001727</v>
      </c>
      <c r="K89" s="194">
        <f>K67+K88</f>
        <v>702172.62</v>
      </c>
      <c r="L89" s="194">
        <f>L67+L88</f>
        <v>204020.99000000002</v>
      </c>
      <c r="M89" s="302">
        <f t="shared" si="26"/>
        <v>1.2905567437249261</v>
      </c>
      <c r="N89" s="192">
        <f>N67+N88</f>
        <v>137691.1</v>
      </c>
      <c r="O89" s="192">
        <f>O67+O88</f>
        <v>122047.34000000008</v>
      </c>
      <c r="P89" s="194">
        <f>#N/A</f>
        <v>-128900.27999999997</v>
      </c>
      <c r="Q89" s="194">
        <f>O89/N89*100</f>
        <v>88.63851040481198</v>
      </c>
      <c r="R89" s="27">
        <f>R67+R88</f>
        <v>112668.9</v>
      </c>
      <c r="S89" s="27">
        <f>S67+S88</f>
        <v>6795.830000000084</v>
      </c>
    </row>
    <row r="90" spans="2:15" ht="15">
      <c r="B90" s="20" t="s">
        <v>34</v>
      </c>
      <c r="O90" s="25"/>
    </row>
    <row r="91" spans="2:19" ht="15">
      <c r="B91" s="4" t="s">
        <v>36</v>
      </c>
      <c r="C91" s="76">
        <v>0</v>
      </c>
      <c r="D91" s="4" t="s">
        <v>35</v>
      </c>
      <c r="O91" s="78"/>
      <c r="S91" s="29"/>
    </row>
    <row r="92" spans="2:19" ht="30.75">
      <c r="B92" s="52" t="s">
        <v>53</v>
      </c>
      <c r="C92" s="29" t="e">
        <f>IF(P67&lt;0,ABS(P67/C91),0)</f>
        <v>#DIV/0!</v>
      </c>
      <c r="D92" s="4" t="s">
        <v>24</v>
      </c>
      <c r="G92" s="424"/>
      <c r="H92" s="424"/>
      <c r="I92" s="424"/>
      <c r="J92" s="424"/>
      <c r="K92" s="84"/>
      <c r="L92" s="84"/>
      <c r="M92" s="84"/>
      <c r="Q92" s="25"/>
      <c r="R92" s="25"/>
      <c r="S92" s="25"/>
    </row>
    <row r="93" spans="2:16" ht="34.5" customHeight="1">
      <c r="B93" s="53" t="s">
        <v>55</v>
      </c>
      <c r="C93" s="81">
        <v>42978</v>
      </c>
      <c r="D93" s="29">
        <v>7963.3</v>
      </c>
      <c r="G93" s="4" t="s">
        <v>58</v>
      </c>
      <c r="O93" s="430"/>
      <c r="P93" s="430"/>
    </row>
    <row r="94" spans="3:16" ht="15">
      <c r="C94" s="81">
        <v>42977</v>
      </c>
      <c r="D94" s="29">
        <v>9672.2</v>
      </c>
      <c r="G94" s="427"/>
      <c r="H94" s="427"/>
      <c r="I94" s="118"/>
      <c r="J94" s="295"/>
      <c r="K94" s="295"/>
      <c r="L94" s="295"/>
      <c r="M94" s="295"/>
      <c r="N94" s="295"/>
      <c r="O94" s="430"/>
      <c r="P94" s="430"/>
    </row>
    <row r="95" spans="3:16" ht="15.75" customHeight="1">
      <c r="C95" s="81">
        <v>42976</v>
      </c>
      <c r="D95" s="29">
        <v>5224.7</v>
      </c>
      <c r="F95" s="68"/>
      <c r="G95" s="427"/>
      <c r="H95" s="427"/>
      <c r="I95" s="118"/>
      <c r="J95" s="296"/>
      <c r="K95" s="296"/>
      <c r="L95" s="296"/>
      <c r="M95" s="296"/>
      <c r="N95" s="296"/>
      <c r="O95" s="430"/>
      <c r="P95" s="430"/>
    </row>
    <row r="96" spans="3:14" ht="15.75" customHeight="1">
      <c r="C96" s="81"/>
      <c r="F96" s="68"/>
      <c r="G96" s="421"/>
      <c r="H96" s="421"/>
      <c r="I96" s="124"/>
      <c r="J96" s="295"/>
      <c r="K96" s="295"/>
      <c r="L96" s="295"/>
      <c r="M96" s="295"/>
      <c r="N96" s="295"/>
    </row>
    <row r="97" spans="2:14" ht="18" customHeight="1">
      <c r="B97" s="425" t="s">
        <v>56</v>
      </c>
      <c r="C97" s="426"/>
      <c r="D97" s="133">
        <v>8826.98</v>
      </c>
      <c r="E97" s="69"/>
      <c r="F97" s="125" t="s">
        <v>107</v>
      </c>
      <c r="G97" s="427"/>
      <c r="H97" s="427"/>
      <c r="I97" s="126"/>
      <c r="J97" s="295"/>
      <c r="K97" s="295"/>
      <c r="L97" s="295"/>
      <c r="M97" s="295"/>
      <c r="N97" s="295"/>
    </row>
    <row r="98" spans="6:13" ht="9.75" customHeight="1" hidden="1">
      <c r="F98" s="68"/>
      <c r="G98" s="427"/>
      <c r="H98" s="427"/>
      <c r="I98" s="68"/>
      <c r="J98" s="69"/>
      <c r="K98" s="69"/>
      <c r="L98" s="69"/>
      <c r="M98" s="69"/>
    </row>
    <row r="99" spans="2:13" ht="22.5" customHeight="1" hidden="1">
      <c r="B99" s="428" t="s">
        <v>59</v>
      </c>
      <c r="C99" s="429"/>
      <c r="D99" s="80">
        <v>0</v>
      </c>
      <c r="E99" s="51" t="s">
        <v>24</v>
      </c>
      <c r="F99" s="68"/>
      <c r="G99" s="427"/>
      <c r="H99" s="427"/>
      <c r="I99" s="68"/>
      <c r="J99" s="69"/>
      <c r="K99" s="69"/>
      <c r="L99" s="69"/>
      <c r="M99" s="69"/>
    </row>
    <row r="100" spans="2:16" ht="15" hidden="1">
      <c r="B100" s="285" t="s">
        <v>195</v>
      </c>
      <c r="D100" s="68">
        <f>D48+D51+D52</f>
        <v>1060</v>
      </c>
      <c r="E100" s="68">
        <f>E48+E51+E52</f>
        <v>806</v>
      </c>
      <c r="F100" s="203">
        <f>F48+F51+F52</f>
        <v>1220.7900000000002</v>
      </c>
      <c r="G100" s="68">
        <f>G48+G51+G52</f>
        <v>414.79</v>
      </c>
      <c r="H100" s="69"/>
      <c r="I100" s="69"/>
      <c r="N100" s="29">
        <f>N48+N51+N52</f>
        <v>99</v>
      </c>
      <c r="O100" s="202">
        <f>O48+O51+O52</f>
        <v>174.09999999999997</v>
      </c>
      <c r="P100" s="29">
        <f>P48+P51+P52</f>
        <v>75.09999999999997</v>
      </c>
    </row>
    <row r="101" spans="4:16" ht="15" hidden="1">
      <c r="D101" s="78"/>
      <c r="I101" s="29"/>
      <c r="O101" s="420"/>
      <c r="P101" s="420"/>
    </row>
    <row r="102" spans="2:17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846303.7999999999</v>
      </c>
      <c r="F102" s="229">
        <f>F9+F15+F18+F19+F23+F42+F45+F65+F59</f>
        <v>841676.8300000001</v>
      </c>
      <c r="G102" s="29">
        <f>F102-E102</f>
        <v>-4626.969999999856</v>
      </c>
      <c r="H102" s="230">
        <f>F102/E102</f>
        <v>0.9945327316266336</v>
      </c>
      <c r="I102" s="29">
        <f>F102-D102</f>
        <v>-457371.77</v>
      </c>
      <c r="J102" s="230">
        <f>F102/D102</f>
        <v>0.6479178916015921</v>
      </c>
      <c r="N102" s="29">
        <f>N9+N15+N17+N18+N19+N23+N42+N45+N65+N59</f>
        <v>118692.3</v>
      </c>
      <c r="O102" s="229">
        <f>O9+O15+O17+O18+O19+O23+O42+O45+O65+O59</f>
        <v>113857.58000000009</v>
      </c>
      <c r="P102" s="29">
        <f>O102-N102</f>
        <v>-4834.719999999914</v>
      </c>
      <c r="Q102" s="230">
        <f>O102/N102</f>
        <v>0.959266776362073</v>
      </c>
    </row>
    <row r="103" spans="2:17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40095</v>
      </c>
      <c r="F103" s="229">
        <f>F43+F44+F46+F48+F50+F51+F52+F53+F54+F60+F64+F47+F66</f>
        <v>43813.45999999999</v>
      </c>
      <c r="G103" s="29">
        <f>G43+G44+G46+G48+G50+G51+G52+G53+G54+G60+G64+G47</f>
        <v>3723.6299999999987</v>
      </c>
      <c r="H103" s="230">
        <f>F103/E103</f>
        <v>1.092741239556054</v>
      </c>
      <c r="I103" s="29">
        <f>I43+I44+I46+I48+I50+I51+I52+I53+I54+I60+I64+I47</f>
        <v>-14623.870000000003</v>
      </c>
      <c r="J103" s="230">
        <f>F103/D103</f>
        <v>0.749684903965436</v>
      </c>
      <c r="K103" s="29">
        <f>K43+K44+K46+K48+K50+K51+K52+K53+K54+K60+K64+K47</f>
        <v>42568.869999999995</v>
      </c>
      <c r="L103" s="29">
        <f>L43+L44+L46+L48+L50+L51+L52+L53+L54+L60+L64+L47</f>
        <v>1249.759999999998</v>
      </c>
      <c r="M103" s="29">
        <f>M43+M44+M46+M48+M50+M51+M52+M53+M54+M60+M64+M47</f>
        <v>21.33040941383548</v>
      </c>
      <c r="N103" s="29">
        <f>N43+N44+N46+N48+N50+N51+N52+N53+N54+N60+N64+N47+N66</f>
        <v>5163.8</v>
      </c>
      <c r="O103" s="229">
        <f>O43+O44+O46+O48+O50+O51+O52+O53+O54+O60+O64+O47+O66</f>
        <v>5596.850000000001</v>
      </c>
      <c r="P103" s="29">
        <f>P43+P44+P46+P48+P50+P51+P52+P53+P54+P60+P64+P47</f>
        <v>432.9700000000004</v>
      </c>
      <c r="Q103" s="230">
        <f>O103/N103</f>
        <v>1.0838626592819243</v>
      </c>
    </row>
    <row r="104" spans="2:17" ht="15" hidden="1">
      <c r="B104" s="4" t="s">
        <v>121</v>
      </c>
      <c r="D104" s="29">
        <f>SUM(D102:D103)</f>
        <v>1357491.1</v>
      </c>
      <c r="E104" s="29">
        <f>#N/A</f>
        <v>886398.7999999999</v>
      </c>
      <c r="F104" s="229">
        <f>#N/A</f>
        <v>774816.3000000002</v>
      </c>
      <c r="G104" s="29">
        <f>#N/A</f>
        <v>-111577.24999999978</v>
      </c>
      <c r="H104" s="230">
        <f>F104/E104</f>
        <v>0.8741170452848088</v>
      </c>
      <c r="I104" s="29">
        <f>#N/A</f>
        <v>-582669.5499999999</v>
      </c>
      <c r="J104" s="230">
        <f>F104/D104</f>
        <v>0.5707708138933656</v>
      </c>
      <c r="K104" s="29">
        <f>#N/A</f>
        <v>42568.869999999995</v>
      </c>
      <c r="L104" s="29">
        <f>#N/A</f>
        <v>-1230.3500000000017</v>
      </c>
      <c r="M104" s="29">
        <f>#N/A</f>
        <v>11.229198428583567</v>
      </c>
      <c r="N104" s="29">
        <f>#N/A</f>
        <v>123856.1</v>
      </c>
      <c r="O104" s="229">
        <f>#N/A</f>
        <v>8780.520000000037</v>
      </c>
      <c r="P104" s="29">
        <f>#N/A</f>
        <v>-115075.57999999996</v>
      </c>
      <c r="Q104" s="230">
        <f>O104/N104</f>
        <v>0.07089291524599949</v>
      </c>
    </row>
    <row r="105" spans="4:19" ht="15" hidden="1">
      <c r="D105" s="29">
        <f>D67-D104</f>
        <v>0</v>
      </c>
      <c r="E105" s="29">
        <f>#N/A</f>
        <v>0</v>
      </c>
      <c r="F105" s="29">
        <f>#N/A</f>
        <v>23.869999999878928</v>
      </c>
      <c r="G105" s="29">
        <f>#N/A</f>
        <v>18.61999999989348</v>
      </c>
      <c r="H105" s="230"/>
      <c r="I105" s="29">
        <f>#N/A</f>
        <v>18.619999999878928</v>
      </c>
      <c r="J105" s="230"/>
      <c r="K105" s="29">
        <f>K67-K104</f>
        <v>633954.76</v>
      </c>
      <c r="L105" s="29">
        <f>#N/A</f>
        <v>99546.97</v>
      </c>
      <c r="M105" s="29">
        <f>#N/A</f>
        <v>-10.0838721941901</v>
      </c>
      <c r="N105" s="29">
        <f>#N/A</f>
        <v>0</v>
      </c>
      <c r="O105" s="29">
        <f>#N/A</f>
        <v>0</v>
      </c>
      <c r="P105" s="29">
        <f>#N/A</f>
        <v>0</v>
      </c>
      <c r="Q105" s="29"/>
      <c r="R105" s="29">
        <f>#N/A</f>
        <v>108115.7</v>
      </c>
      <c r="S105" s="29"/>
    </row>
    <row r="106" ht="15" hidden="1">
      <c r="E106" s="4" t="s">
        <v>58</v>
      </c>
    </row>
    <row r="107" spans="2:5" ht="15" hidden="1">
      <c r="B107" s="245" t="s">
        <v>165</v>
      </c>
      <c r="E107" s="29">
        <f>E67-E9-E20-E29-E35</f>
        <v>91516.09999999992</v>
      </c>
    </row>
    <row r="108" spans="2:5" ht="15" hidden="1">
      <c r="B108" s="245" t="s">
        <v>166</v>
      </c>
      <c r="E108" s="29">
        <f>E88-E83-E76-E77</f>
        <v>23938.399999999994</v>
      </c>
    </row>
    <row r="109" ht="15" hidden="1"/>
    <row r="110" spans="2:19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268"/>
      <c r="N110" s="266"/>
      <c r="O110" s="266"/>
      <c r="P110" s="267"/>
      <c r="Q110" s="267"/>
      <c r="R110" s="270"/>
      <c r="S110" s="270"/>
    </row>
    <row r="111" spans="2:19" ht="23.25" customHeight="1" hidden="1">
      <c r="B111" s="14" t="s">
        <v>31</v>
      </c>
      <c r="C111" s="66"/>
      <c r="D111" s="191">
        <f>D88+D110</f>
        <v>318064.25</v>
      </c>
      <c r="E111" s="191">
        <f>E88+E110</f>
        <v>89263.65999999999</v>
      </c>
      <c r="F111" s="191">
        <f>F88+F110</f>
        <v>40933.770000000004</v>
      </c>
      <c r="G111" s="192">
        <f>F111-E111</f>
        <v>-48329.889999999985</v>
      </c>
      <c r="H111" s="193">
        <f>F111/E111*100</f>
        <v>45.857149482779455</v>
      </c>
      <c r="I111" s="194">
        <f>F111-D111</f>
        <v>-277130.48</v>
      </c>
      <c r="J111" s="194">
        <f>F111/D111*100</f>
        <v>12.869654480187572</v>
      </c>
      <c r="K111" s="194">
        <v>3039.87</v>
      </c>
      <c r="L111" s="194">
        <f>F111-K111</f>
        <v>37893.9</v>
      </c>
      <c r="M111" s="269">
        <f>F111/K111</f>
        <v>13.46563175398948</v>
      </c>
      <c r="N111" s="272"/>
      <c r="O111" s="272"/>
      <c r="P111" s="273"/>
      <c r="Q111" s="273"/>
      <c r="R111" s="271">
        <f>O111-8104.96</f>
        <v>-8104.96</v>
      </c>
      <c r="S111" s="271"/>
    </row>
    <row r="112" spans="2:19" ht="17.25" hidden="1">
      <c r="B112" s="21" t="s">
        <v>181</v>
      </c>
      <c r="C112" s="66"/>
      <c r="D112" s="191">
        <f>D111+D67</f>
        <v>1675555.35</v>
      </c>
      <c r="E112" s="191">
        <f>E111+E67</f>
        <v>975662.46</v>
      </c>
      <c r="F112" s="191">
        <f>F111+F67</f>
        <v>926447.93</v>
      </c>
      <c r="G112" s="192">
        <f>F112-E112</f>
        <v>-49214.52999999991</v>
      </c>
      <c r="H112" s="193">
        <f>F112/E112*100</f>
        <v>94.95578317115942</v>
      </c>
      <c r="I112" s="194">
        <f>F112-D112</f>
        <v>-749107.42</v>
      </c>
      <c r="J112" s="194">
        <f>F112/D112*100</f>
        <v>55.291991995370374</v>
      </c>
      <c r="K112" s="194">
        <f>K89+K111</f>
        <v>705212.49</v>
      </c>
      <c r="L112" s="194">
        <f>F112-K112</f>
        <v>221235.44000000006</v>
      </c>
      <c r="M112" s="269">
        <f>F112/K112</f>
        <v>1.313714579842453</v>
      </c>
      <c r="N112" s="274"/>
      <c r="O112" s="274"/>
      <c r="P112" s="273"/>
      <c r="Q112" s="273"/>
      <c r="R112" s="271">
        <f>O112-42872.96</f>
        <v>-42872.96</v>
      </c>
      <c r="S112" s="271"/>
    </row>
    <row r="113" spans="2:17" ht="15" hidden="1">
      <c r="B113" s="241" t="s">
        <v>183</v>
      </c>
      <c r="C113" s="239">
        <v>40000000</v>
      </c>
      <c r="D113" s="244">
        <f>#N/A</f>
        <v>1222868.6900000002</v>
      </c>
      <c r="E113" s="244">
        <f>#N/A</f>
        <v>550655.6</v>
      </c>
      <c r="F113" s="244">
        <f>#N/A</f>
        <v>545829.08</v>
      </c>
      <c r="G113" s="244">
        <f>#N/A</f>
        <v>-4826.520000000019</v>
      </c>
      <c r="H113" s="244">
        <f>F113/E113*100</f>
        <v>99.12349570221387</v>
      </c>
      <c r="I113" s="36">
        <f>#N/A</f>
        <v>-677039.6100000002</v>
      </c>
      <c r="J113" s="36">
        <f>F113/D113*100</f>
        <v>44.63513412875097</v>
      </c>
      <c r="Q113" s="89"/>
    </row>
    <row r="114" spans="2:17" ht="15" customHeight="1" hidden="1">
      <c r="B114" s="240" t="s">
        <v>154</v>
      </c>
      <c r="C114" s="239">
        <v>41000000</v>
      </c>
      <c r="D114" s="244">
        <f>#N/A</f>
        <v>1222868.6900000002</v>
      </c>
      <c r="E114" s="244">
        <f>#N/A</f>
        <v>550655.6</v>
      </c>
      <c r="F114" s="244">
        <f>#N/A</f>
        <v>545829.08</v>
      </c>
      <c r="G114" s="244">
        <f>#N/A</f>
        <v>-4826.520000000019</v>
      </c>
      <c r="H114" s="244">
        <f>#N/A</f>
        <v>99.12349570221387</v>
      </c>
      <c r="I114" s="36">
        <f>#N/A</f>
        <v>-677039.6100000002</v>
      </c>
      <c r="J114" s="36">
        <f>#N/A</f>
        <v>44.63513412875097</v>
      </c>
      <c r="Q114" s="89"/>
    </row>
    <row r="115" spans="2:17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>
        <f>#N/A</f>
        <v>-4826.520000000019</v>
      </c>
      <c r="H115" s="244">
        <f>#N/A</f>
        <v>99.12349570221387</v>
      </c>
      <c r="I115" s="36">
        <f>#N/A</f>
        <v>-677039.6100000002</v>
      </c>
      <c r="J115" s="36">
        <f>#N/A</f>
        <v>44.63513412875097</v>
      </c>
      <c r="Q115" s="89"/>
    </row>
    <row r="116" spans="2:17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>
        <f>#N/A</f>
        <v>-3734.029999999999</v>
      </c>
      <c r="H116" s="244">
        <f>#N/A</f>
        <v>95.0108160470321</v>
      </c>
      <c r="I116" s="36">
        <f>#N/A</f>
        <v>-240704.93000000002</v>
      </c>
      <c r="J116" s="36">
        <f>#N/A</f>
        <v>22.80481531582671</v>
      </c>
      <c r="Q116" s="89"/>
    </row>
    <row r="117" spans="2:17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>
        <f>#N/A</f>
        <v>-707.6699999999837</v>
      </c>
      <c r="H117" s="244">
        <f>#N/A</f>
        <v>99.80061079304002</v>
      </c>
      <c r="I117" s="36">
        <f>#N/A</f>
        <v>-54436.96000000002</v>
      </c>
      <c r="J117" s="36">
        <f>#N/A</f>
        <v>86.67877161822808</v>
      </c>
      <c r="Q117" s="89"/>
    </row>
    <row r="118" spans="2:17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>
        <f>#N/A</f>
        <v>-16.159999999999997</v>
      </c>
      <c r="H118" s="244">
        <f>#N/A</f>
        <v>71.64912280701755</v>
      </c>
      <c r="I118" s="36">
        <f>#N/A</f>
        <v>-186.85999999999999</v>
      </c>
      <c r="J118" s="36">
        <f>#N/A</f>
        <v>17.9358805445762</v>
      </c>
      <c r="Q118" s="89"/>
    </row>
    <row r="119" spans="2:17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>
        <f>#N/A</f>
        <v>0</v>
      </c>
      <c r="H119" s="244">
        <f>#N/A</f>
        <v>100</v>
      </c>
      <c r="I119" s="36">
        <f>#N/A</f>
        <v>-187142.9</v>
      </c>
      <c r="J119" s="36">
        <f>#N/A</f>
        <v>23.092327639525013</v>
      </c>
      <c r="Q119" s="89"/>
    </row>
    <row r="120" spans="2:17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>
        <f>#N/A</f>
        <v>0</v>
      </c>
      <c r="H120" s="244">
        <f>#N/A</f>
        <v>100</v>
      </c>
      <c r="I120" s="36">
        <f>#N/A</f>
        <v>-178707.6</v>
      </c>
      <c r="J120" s="36">
        <f>#N/A</f>
        <v>24.991406068008537</v>
      </c>
      <c r="Q120" s="89"/>
    </row>
    <row r="121" spans="2:17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>
        <f>#N/A</f>
        <v>-460.1399999999999</v>
      </c>
      <c r="H121" s="244">
        <f>#N/A</f>
        <v>89.02806292160552</v>
      </c>
      <c r="I121" s="36">
        <f>#N/A</f>
        <v>-12505.44</v>
      </c>
      <c r="J121" s="36">
        <f>#N/A</f>
        <v>22.99174399550714</v>
      </c>
      <c r="Q121" s="89"/>
    </row>
    <row r="122" spans="2:17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>
        <f>#N/A</f>
        <v>165.7</v>
      </c>
      <c r="H122" s="244">
        <f>#N/A</f>
        <v>0</v>
      </c>
      <c r="I122" s="36">
        <f>#N/A</f>
        <v>165.7</v>
      </c>
      <c r="J122" s="36" t="e">
        <f>#N/A</f>
        <v>#DIV/0!</v>
      </c>
      <c r="Q122" s="89"/>
    </row>
    <row r="123" spans="2:17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>
        <f>#N/A</f>
        <v>-74.22000000000003</v>
      </c>
      <c r="H123" s="244">
        <f>#N/A</f>
        <v>91.84305967688756</v>
      </c>
      <c r="I123" s="36">
        <f>#N/A</f>
        <v>-3520.6200000000003</v>
      </c>
      <c r="J123" s="36">
        <f>#N/A</f>
        <v>19.183251842159628</v>
      </c>
      <c r="Q123" s="89"/>
    </row>
    <row r="124" spans="2:17" s="242" customFormat="1" ht="25.5" customHeight="1" hidden="1">
      <c r="B124" s="275" t="s">
        <v>158</v>
      </c>
      <c r="C124" s="276"/>
      <c r="D124" s="277">
        <f>D112+D113</f>
        <v>2898424.04</v>
      </c>
      <c r="E124" s="277">
        <f>E112+E113</f>
        <v>1526318.06</v>
      </c>
      <c r="F124" s="277">
        <f>F112+F113</f>
        <v>1472277.01</v>
      </c>
      <c r="G124" s="278">
        <f>#N/A</f>
        <v>-167297.6499999999</v>
      </c>
      <c r="H124" s="277">
        <f>#N/A</f>
        <v>89.03913578798904</v>
      </c>
      <c r="I124" s="279">
        <f>#N/A</f>
        <v>-1539403.63</v>
      </c>
      <c r="J124" s="279">
        <f>#N/A</f>
        <v>46.88825345238305</v>
      </c>
      <c r="Q124" s="243"/>
    </row>
    <row r="125" ht="15" hidden="1"/>
    <row r="126" ht="15" hidden="1"/>
  </sheetData>
  <sheetProtection/>
  <mergeCells count="33">
    <mergeCell ref="B99:C99"/>
    <mergeCell ref="G99:H99"/>
    <mergeCell ref="O101:P101"/>
    <mergeCell ref="G96:H96"/>
    <mergeCell ref="B97:C97"/>
    <mergeCell ref="G97:H97"/>
    <mergeCell ref="G98:H98"/>
    <mergeCell ref="G94:H94"/>
    <mergeCell ref="O94:P94"/>
    <mergeCell ref="G95:H95"/>
    <mergeCell ref="O95:P95"/>
    <mergeCell ref="P4:P5"/>
    <mergeCell ref="Q4:Q5"/>
    <mergeCell ref="K5:M5"/>
    <mergeCell ref="R5:S5"/>
    <mergeCell ref="G92:J92"/>
    <mergeCell ref="O93:P93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.5905511811023623" right="0.11811023622047245" top="0.15748031496062992" bottom="0.15748031496062992" header="0" footer="0"/>
  <pageSetup fitToHeight="1" fitToWidth="1" orientation="portrait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S124"/>
  <sheetViews>
    <sheetView zoomScale="74" zoomScaleNormal="74" zoomScalePageLayoutView="0" workbookViewId="0" topLeftCell="B1">
      <pane xSplit="2" ySplit="8" topLeftCell="D83" activePane="bottomRight" state="frozen"/>
      <selection pane="topLeft" activeCell="B1" sqref="B1"/>
      <selection pane="topRight" activeCell="D1" sqref="D1"/>
      <selection pane="bottomLeft" activeCell="B9" sqref="B9"/>
      <selection pane="bottomRight" activeCell="K88" sqref="K88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9" width="11.00390625" style="4" hidden="1" customWidth="1"/>
    <col min="20" max="16384" width="9.125" style="4" customWidth="1"/>
  </cols>
  <sheetData>
    <row r="1" spans="1:19" s="1" customFormat="1" ht="26.25" customHeight="1">
      <c r="A1" s="396" t="s">
        <v>232</v>
      </c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  <c r="M1" s="396"/>
      <c r="N1" s="396"/>
      <c r="O1" s="396"/>
      <c r="P1" s="396"/>
      <c r="Q1" s="396"/>
      <c r="R1" s="86"/>
      <c r="S1" s="86"/>
    </row>
    <row r="2" spans="2:19" s="1" customFormat="1" ht="15.75" customHeight="1">
      <c r="B2" s="397"/>
      <c r="C2" s="397"/>
      <c r="D2" s="397"/>
      <c r="E2" s="2"/>
      <c r="F2" s="112"/>
      <c r="G2" s="2"/>
      <c r="H2" s="2"/>
      <c r="M2" s="1" t="s">
        <v>24</v>
      </c>
      <c r="Q2" s="17" t="s">
        <v>24</v>
      </c>
      <c r="R2" s="17"/>
      <c r="S2" s="17"/>
    </row>
    <row r="3" spans="1:19" s="3" customFormat="1" ht="13.5" customHeight="1">
      <c r="A3" s="398"/>
      <c r="B3" s="400"/>
      <c r="C3" s="401" t="s">
        <v>0</v>
      </c>
      <c r="D3" s="402" t="s">
        <v>150</v>
      </c>
      <c r="E3" s="32"/>
      <c r="F3" s="403" t="s">
        <v>26</v>
      </c>
      <c r="G3" s="404"/>
      <c r="H3" s="404"/>
      <c r="I3" s="404"/>
      <c r="J3" s="405"/>
      <c r="K3" s="83"/>
      <c r="L3" s="83"/>
      <c r="M3" s="83"/>
      <c r="N3" s="406" t="s">
        <v>218</v>
      </c>
      <c r="O3" s="409" t="s">
        <v>220</v>
      </c>
      <c r="P3" s="409"/>
      <c r="Q3" s="409"/>
      <c r="R3" s="409"/>
      <c r="S3" s="409"/>
    </row>
    <row r="4" spans="1:19" ht="22.5" customHeight="1">
      <c r="A4" s="398"/>
      <c r="B4" s="400"/>
      <c r="C4" s="401"/>
      <c r="D4" s="402"/>
      <c r="E4" s="392" t="s">
        <v>219</v>
      </c>
      <c r="F4" s="422" t="s">
        <v>33</v>
      </c>
      <c r="G4" s="410" t="s">
        <v>221</v>
      </c>
      <c r="H4" s="407" t="s">
        <v>222</v>
      </c>
      <c r="I4" s="410" t="s">
        <v>138</v>
      </c>
      <c r="J4" s="407" t="s">
        <v>139</v>
      </c>
      <c r="K4" s="85" t="s">
        <v>141</v>
      </c>
      <c r="L4" s="204" t="s">
        <v>113</v>
      </c>
      <c r="M4" s="90" t="s">
        <v>63</v>
      </c>
      <c r="N4" s="407"/>
      <c r="O4" s="394" t="s">
        <v>226</v>
      </c>
      <c r="P4" s="410" t="s">
        <v>49</v>
      </c>
      <c r="Q4" s="412" t="s">
        <v>48</v>
      </c>
      <c r="R4" s="91" t="s">
        <v>64</v>
      </c>
      <c r="S4" s="91"/>
    </row>
    <row r="5" spans="1:19" ht="67.5" customHeight="1">
      <c r="A5" s="399"/>
      <c r="B5" s="400"/>
      <c r="C5" s="401"/>
      <c r="D5" s="402"/>
      <c r="E5" s="393"/>
      <c r="F5" s="423"/>
      <c r="G5" s="411"/>
      <c r="H5" s="408"/>
      <c r="I5" s="411"/>
      <c r="J5" s="408"/>
      <c r="K5" s="413" t="s">
        <v>225</v>
      </c>
      <c r="L5" s="414"/>
      <c r="M5" s="415"/>
      <c r="N5" s="408"/>
      <c r="O5" s="395"/>
      <c r="P5" s="411"/>
      <c r="Q5" s="412"/>
      <c r="R5" s="434" t="s">
        <v>215</v>
      </c>
      <c r="S5" s="435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0"/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10"/>
    </row>
    <row r="8" spans="1:19" s="6" customFormat="1" ht="17.25">
      <c r="A8" s="7"/>
      <c r="B8" s="154" t="s">
        <v>9</v>
      </c>
      <c r="C8" s="70" t="s">
        <v>10</v>
      </c>
      <c r="D8" s="151">
        <f>D9+D15+D18+D19+D23+D17</f>
        <v>1298451.1</v>
      </c>
      <c r="E8" s="151">
        <f>E9+E15+E18+E19+E23+E17</f>
        <v>727340.2</v>
      </c>
      <c r="F8" s="151">
        <f>F9+F15+F18+F19+F23+F17</f>
        <v>725573.05</v>
      </c>
      <c r="G8" s="151">
        <f aca="true" t="shared" si="0" ref="G8:G22">F8-E8</f>
        <v>-1767.1499999999069</v>
      </c>
      <c r="H8" s="152">
        <f aca="true" t="shared" si="1" ref="H8:H15">F8/E8*100</f>
        <v>99.75703941566823</v>
      </c>
      <c r="I8" s="153">
        <f aca="true" t="shared" si="2" ref="I8:I22">F8-D8</f>
        <v>-572878.05</v>
      </c>
      <c r="J8" s="153">
        <f aca="true" t="shared" si="3" ref="J8:J16">F8/D8*100</f>
        <v>55.87989027850182</v>
      </c>
      <c r="K8" s="151">
        <v>543806.97</v>
      </c>
      <c r="L8" s="151">
        <f aca="true" t="shared" si="4" ref="L8:L14">F8-K8</f>
        <v>181766.08000000007</v>
      </c>
      <c r="M8" s="205">
        <f aca="true" t="shared" si="5" ref="M8:M14">F8/K8</f>
        <v>1.3342474260673785</v>
      </c>
      <c r="N8" s="151">
        <f>N9+N15+N18+N19+N23+N17</f>
        <v>118464.60000000003</v>
      </c>
      <c r="O8" s="151">
        <f>O9+O15+O18+O19+O23+O17</f>
        <v>116102.92999999996</v>
      </c>
      <c r="P8" s="151">
        <f aca="true" t="shared" si="6" ref="P8:P15">O8-N8</f>
        <v>-2361.670000000071</v>
      </c>
      <c r="Q8" s="151">
        <f aca="true" t="shared" si="7" ref="Q8:Q14">O8/N8*100</f>
        <v>98.00643398956306</v>
      </c>
      <c r="R8" s="15">
        <f>R9+R15+R18+R19+R23</f>
        <v>102514</v>
      </c>
      <c r="S8" s="15">
        <f>O8-R8</f>
        <v>13588.929999999964</v>
      </c>
    </row>
    <row r="9" spans="1:19" s="6" customFormat="1" ht="18">
      <c r="A9" s="8"/>
      <c r="B9" s="13" t="s">
        <v>79</v>
      </c>
      <c r="C9" s="43">
        <v>11010000</v>
      </c>
      <c r="D9" s="150">
        <v>766645</v>
      </c>
      <c r="E9" s="150">
        <v>416540</v>
      </c>
      <c r="F9" s="156">
        <v>419643.05</v>
      </c>
      <c r="G9" s="150">
        <f t="shared" si="0"/>
        <v>3103.0499999999884</v>
      </c>
      <c r="H9" s="157">
        <f t="shared" si="1"/>
        <v>100.74495846737408</v>
      </c>
      <c r="I9" s="158">
        <f t="shared" si="2"/>
        <v>-347001.95</v>
      </c>
      <c r="J9" s="158">
        <f t="shared" si="3"/>
        <v>54.73759693208721</v>
      </c>
      <c r="K9" s="227">
        <v>295409.71</v>
      </c>
      <c r="L9" s="159">
        <f t="shared" si="4"/>
        <v>124233.33999999997</v>
      </c>
      <c r="M9" s="206">
        <f t="shared" si="5"/>
        <v>1.4205458920087628</v>
      </c>
      <c r="N9" s="157">
        <f>E9-червень!E9</f>
        <v>67300</v>
      </c>
      <c r="O9" s="160">
        <f>F9-червень!F9</f>
        <v>68100.66999999998</v>
      </c>
      <c r="P9" s="161">
        <f t="shared" si="6"/>
        <v>800.6699999999837</v>
      </c>
      <c r="Q9" s="158">
        <f t="shared" si="7"/>
        <v>101.18970282317976</v>
      </c>
      <c r="R9" s="100">
        <v>71000</v>
      </c>
      <c r="S9" s="100">
        <f>O9-R9</f>
        <v>-2899.3300000000163</v>
      </c>
    </row>
    <row r="10" spans="1:19" s="6" customFormat="1" ht="15" customHeight="1">
      <c r="A10" s="8"/>
      <c r="B10" s="121" t="s">
        <v>89</v>
      </c>
      <c r="C10" s="102">
        <v>11010100</v>
      </c>
      <c r="D10" s="103">
        <v>701317</v>
      </c>
      <c r="E10" s="103">
        <v>378608</v>
      </c>
      <c r="F10" s="140">
        <v>384084.26</v>
      </c>
      <c r="G10" s="103">
        <f t="shared" si="0"/>
        <v>5476.260000000009</v>
      </c>
      <c r="H10" s="30">
        <f t="shared" si="1"/>
        <v>101.44641951569962</v>
      </c>
      <c r="I10" s="104">
        <f t="shared" si="2"/>
        <v>-317232.74</v>
      </c>
      <c r="J10" s="104">
        <f t="shared" si="3"/>
        <v>54.76614141679155</v>
      </c>
      <c r="K10" s="106">
        <v>259105.9</v>
      </c>
      <c r="L10" s="106">
        <f t="shared" si="4"/>
        <v>124978.36000000002</v>
      </c>
      <c r="M10" s="207">
        <f t="shared" si="5"/>
        <v>1.4823447092482265</v>
      </c>
      <c r="N10" s="105">
        <f>E10-червень!E10</f>
        <v>60544</v>
      </c>
      <c r="O10" s="144">
        <f>F10-червень!F10</f>
        <v>61539.5</v>
      </c>
      <c r="P10" s="106">
        <f t="shared" si="6"/>
        <v>995.5</v>
      </c>
      <c r="Q10" s="104">
        <f t="shared" si="7"/>
        <v>101.64425872093024</v>
      </c>
      <c r="R10" s="37"/>
      <c r="S10" s="100">
        <f>#N/A</f>
        <v>57142.649999999965</v>
      </c>
    </row>
    <row r="11" spans="1:19" s="6" customFormat="1" ht="15" customHeight="1">
      <c r="A11" s="8"/>
      <c r="B11" s="121" t="s">
        <v>85</v>
      </c>
      <c r="C11" s="102">
        <v>11010200</v>
      </c>
      <c r="D11" s="103">
        <v>46506</v>
      </c>
      <c r="E11" s="103">
        <v>26280</v>
      </c>
      <c r="F11" s="140">
        <v>22629.08</v>
      </c>
      <c r="G11" s="103">
        <f t="shared" si="0"/>
        <v>-3650.9199999999983</v>
      </c>
      <c r="H11" s="30">
        <f t="shared" si="1"/>
        <v>86.10761035007611</v>
      </c>
      <c r="I11" s="104">
        <f t="shared" si="2"/>
        <v>-23876.92</v>
      </c>
      <c r="J11" s="104">
        <f t="shared" si="3"/>
        <v>48.65840966756978</v>
      </c>
      <c r="K11" s="106">
        <v>21586.03</v>
      </c>
      <c r="L11" s="106">
        <f t="shared" si="4"/>
        <v>1043.050000000003</v>
      </c>
      <c r="M11" s="207">
        <f t="shared" si="5"/>
        <v>1.0483206036496755</v>
      </c>
      <c r="N11" s="105">
        <f>E11-червень!E11</f>
        <v>4080</v>
      </c>
      <c r="O11" s="144">
        <f>F11-червень!F11</f>
        <v>3543.1900000000023</v>
      </c>
      <c r="P11" s="106">
        <f t="shared" si="6"/>
        <v>-536.8099999999977</v>
      </c>
      <c r="Q11" s="104">
        <f t="shared" si="7"/>
        <v>86.8428921568628</v>
      </c>
      <c r="R11" s="37"/>
      <c r="S11" s="100">
        <f>#N/A</f>
        <v>3455.9400000000023</v>
      </c>
    </row>
    <row r="12" spans="1:19" s="6" customFormat="1" ht="15" customHeight="1">
      <c r="A12" s="8"/>
      <c r="B12" s="121" t="s">
        <v>88</v>
      </c>
      <c r="C12" s="102">
        <v>11010400</v>
      </c>
      <c r="D12" s="103">
        <v>8280</v>
      </c>
      <c r="E12" s="103">
        <v>4440</v>
      </c>
      <c r="F12" s="140">
        <v>5471.93</v>
      </c>
      <c r="G12" s="103">
        <f t="shared" si="0"/>
        <v>1031.9300000000003</v>
      </c>
      <c r="H12" s="30">
        <f t="shared" si="1"/>
        <v>123.24166666666667</v>
      </c>
      <c r="I12" s="104">
        <f t="shared" si="2"/>
        <v>-2808.0699999999997</v>
      </c>
      <c r="J12" s="104">
        <f t="shared" si="3"/>
        <v>66.08611111111111</v>
      </c>
      <c r="K12" s="106">
        <v>5837.44</v>
      </c>
      <c r="L12" s="106">
        <f t="shared" si="4"/>
        <v>-365.5099999999993</v>
      </c>
      <c r="M12" s="207">
        <f t="shared" si="5"/>
        <v>0.9373852236596866</v>
      </c>
      <c r="N12" s="105">
        <f>E12-червень!E12</f>
        <v>600</v>
      </c>
      <c r="O12" s="144">
        <f>F12-червень!F12</f>
        <v>958.9000000000005</v>
      </c>
      <c r="P12" s="106">
        <f t="shared" si="6"/>
        <v>358.90000000000055</v>
      </c>
      <c r="Q12" s="104">
        <f t="shared" si="7"/>
        <v>159.81666666666678</v>
      </c>
      <c r="R12" s="37"/>
      <c r="S12" s="100">
        <f>#N/A</f>
        <v>935.7600000000002</v>
      </c>
    </row>
    <row r="13" spans="1:19" s="6" customFormat="1" ht="15" customHeight="1">
      <c r="A13" s="8"/>
      <c r="B13" s="121" t="s">
        <v>86</v>
      </c>
      <c r="C13" s="102">
        <v>11010500</v>
      </c>
      <c r="D13" s="103">
        <v>9390</v>
      </c>
      <c r="E13" s="103">
        <v>6540</v>
      </c>
      <c r="F13" s="140">
        <v>6636.94</v>
      </c>
      <c r="G13" s="103">
        <f t="shared" si="0"/>
        <v>96.9399999999996</v>
      </c>
      <c r="H13" s="30">
        <f t="shared" si="1"/>
        <v>101.4822629969419</v>
      </c>
      <c r="I13" s="104">
        <f t="shared" si="2"/>
        <v>-2753.0600000000004</v>
      </c>
      <c r="J13" s="104">
        <f t="shared" si="3"/>
        <v>70.68093716719915</v>
      </c>
      <c r="K13" s="106">
        <v>6429.46</v>
      </c>
      <c r="L13" s="106">
        <f t="shared" si="4"/>
        <v>207.47999999999956</v>
      </c>
      <c r="M13" s="207">
        <f t="shared" si="5"/>
        <v>1.032270206207053</v>
      </c>
      <c r="N13" s="105">
        <f>E13-червень!E13</f>
        <v>1980</v>
      </c>
      <c r="O13" s="144">
        <f>F13-червень!F13</f>
        <v>1945.7699999999995</v>
      </c>
      <c r="P13" s="106">
        <f t="shared" si="6"/>
        <v>-34.23000000000047</v>
      </c>
      <c r="Q13" s="104">
        <f t="shared" si="7"/>
        <v>98.27121212121209</v>
      </c>
      <c r="R13" s="37"/>
      <c r="S13" s="100">
        <f>#N/A</f>
        <v>1728.6999999999998</v>
      </c>
    </row>
    <row r="14" spans="1:19" s="6" customFormat="1" ht="15" customHeight="1">
      <c r="A14" s="8"/>
      <c r="B14" s="121" t="s">
        <v>87</v>
      </c>
      <c r="C14" s="102">
        <v>11010900</v>
      </c>
      <c r="D14" s="103">
        <v>1152</v>
      </c>
      <c r="E14" s="103">
        <v>672</v>
      </c>
      <c r="F14" s="140">
        <v>820.83</v>
      </c>
      <c r="G14" s="103">
        <f t="shared" si="0"/>
        <v>148.83000000000004</v>
      </c>
      <c r="H14" s="30">
        <f t="shared" si="1"/>
        <v>122.14732142857143</v>
      </c>
      <c r="I14" s="104">
        <f t="shared" si="2"/>
        <v>-331.16999999999996</v>
      </c>
      <c r="J14" s="104">
        <f t="shared" si="3"/>
        <v>71.25260416666667</v>
      </c>
      <c r="K14" s="106">
        <v>2450.88</v>
      </c>
      <c r="L14" s="106">
        <f t="shared" si="4"/>
        <v>-1630.0500000000002</v>
      </c>
      <c r="M14" s="207">
        <f t="shared" si="5"/>
        <v>0.3349123580101841</v>
      </c>
      <c r="N14" s="105">
        <f>E14-червень!E14</f>
        <v>96</v>
      </c>
      <c r="O14" s="144">
        <f>F14-червень!F14</f>
        <v>113.30000000000007</v>
      </c>
      <c r="P14" s="106">
        <f t="shared" si="6"/>
        <v>17.300000000000068</v>
      </c>
      <c r="Q14" s="104">
        <f t="shared" si="7"/>
        <v>118.0208333333334</v>
      </c>
      <c r="R14" s="37"/>
      <c r="S14" s="100">
        <f>#N/A</f>
        <v>113.20000000000005</v>
      </c>
    </row>
    <row r="15" spans="1:19" s="6" customFormat="1" ht="30.75">
      <c r="A15" s="8"/>
      <c r="B15" s="12" t="s">
        <v>11</v>
      </c>
      <c r="C15" s="43">
        <v>11020200</v>
      </c>
      <c r="D15" s="150">
        <v>551</v>
      </c>
      <c r="E15" s="150">
        <v>341</v>
      </c>
      <c r="F15" s="156">
        <v>44.99</v>
      </c>
      <c r="G15" s="150">
        <f t="shared" si="0"/>
        <v>-296.01</v>
      </c>
      <c r="H15" s="157">
        <f t="shared" si="1"/>
        <v>13.193548387096774</v>
      </c>
      <c r="I15" s="158">
        <f t="shared" si="2"/>
        <v>-506.01</v>
      </c>
      <c r="J15" s="158">
        <f t="shared" si="3"/>
        <v>8.165154264972777</v>
      </c>
      <c r="K15" s="161">
        <v>309.24</v>
      </c>
      <c r="L15" s="161">
        <f aca="true" t="shared" si="8" ref="L15:L20">K15-F15</f>
        <v>264.25</v>
      </c>
      <c r="M15" s="208">
        <f>K15/F15</f>
        <v>6.873527450544565</v>
      </c>
      <c r="N15" s="164">
        <f>E15-червень!E15</f>
        <v>0</v>
      </c>
      <c r="O15" s="168">
        <f>F15-червень!F15</f>
        <v>0.4299999999999997</v>
      </c>
      <c r="P15" s="161">
        <f t="shared" si="6"/>
        <v>0.4299999999999997</v>
      </c>
      <c r="Q15" s="158"/>
      <c r="R15" s="37">
        <v>0</v>
      </c>
      <c r="S15" s="100">
        <f>#N/A</f>
        <v>0.4299999999999997</v>
      </c>
    </row>
    <row r="16" spans="1:19" s="6" customFormat="1" ht="18" customHeight="1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150">
        <f t="shared" si="0"/>
        <v>0</v>
      </c>
      <c r="H16" s="157" t="e">
        <f>F16/E16/100</f>
        <v>#DIV/0!</v>
      </c>
      <c r="I16" s="158">
        <f t="shared" si="2"/>
        <v>0</v>
      </c>
      <c r="J16" s="158" t="e">
        <f t="shared" si="3"/>
        <v>#DIV/0!</v>
      </c>
      <c r="K16" s="106">
        <v>381.9</v>
      </c>
      <c r="L16" s="161">
        <f t="shared" si="8"/>
        <v>381.9</v>
      </c>
      <c r="M16" s="208" t="e">
        <f>K16/F16</f>
        <v>#DIV/0!</v>
      </c>
      <c r="N16" s="164">
        <f>E16-червень!E16</f>
        <v>0</v>
      </c>
      <c r="O16" s="168">
        <f>F16-червень!F16</f>
        <v>0</v>
      </c>
      <c r="P16" s="36">
        <f>#N/A</f>
        <v>0</v>
      </c>
      <c r="Q16" s="158"/>
      <c r="R16" s="104">
        <f>O16-358.81</f>
        <v>-358.81</v>
      </c>
      <c r="S16" s="100">
        <f>#N/A</f>
        <v>358.81</v>
      </c>
    </row>
    <row r="17" spans="1:19" s="6" customFormat="1" ht="30.75" customHeight="1">
      <c r="A17" s="8"/>
      <c r="B17" s="225" t="s">
        <v>116</v>
      </c>
      <c r="C17" s="120">
        <v>13010200</v>
      </c>
      <c r="D17" s="162">
        <v>0</v>
      </c>
      <c r="E17" s="162">
        <v>0</v>
      </c>
      <c r="F17" s="163">
        <v>0.49</v>
      </c>
      <c r="G17" s="150">
        <f t="shared" si="0"/>
        <v>0.49</v>
      </c>
      <c r="H17" s="157"/>
      <c r="I17" s="158">
        <f t="shared" si="2"/>
        <v>0.49</v>
      </c>
      <c r="J17" s="158"/>
      <c r="K17" s="167">
        <v>0.17</v>
      </c>
      <c r="L17" s="161">
        <f t="shared" si="8"/>
        <v>-0.31999999999999995</v>
      </c>
      <c r="M17" s="208">
        <f>K17/F17</f>
        <v>0.34693877551020413</v>
      </c>
      <c r="N17" s="164">
        <f>E17-червень!E17</f>
        <v>0</v>
      </c>
      <c r="O17" s="168">
        <f>F17-червень!F17</f>
        <v>0</v>
      </c>
      <c r="P17" s="167">
        <f aca="true" t="shared" si="9" ref="P17:P25">O17-N17</f>
        <v>0</v>
      </c>
      <c r="Q17" s="158"/>
      <c r="R17" s="104"/>
      <c r="S17" s="100">
        <f>#N/A</f>
        <v>0</v>
      </c>
    </row>
    <row r="18" spans="1:19" s="6" customFormat="1" ht="30.75">
      <c r="A18" s="8"/>
      <c r="B18" s="300" t="s">
        <v>117</v>
      </c>
      <c r="C18" s="43" t="s">
        <v>58</v>
      </c>
      <c r="D18" s="150">
        <v>125</v>
      </c>
      <c r="E18" s="150">
        <v>70</v>
      </c>
      <c r="F18" s="156">
        <v>118.46</v>
      </c>
      <c r="G18" s="150">
        <f t="shared" si="0"/>
        <v>48.459999999999994</v>
      </c>
      <c r="H18" s="157">
        <f>F18/E18*100</f>
        <v>169.22857142857143</v>
      </c>
      <c r="I18" s="158">
        <f t="shared" si="2"/>
        <v>-6.540000000000006</v>
      </c>
      <c r="J18" s="158">
        <f>F18/D18*100</f>
        <v>94.768</v>
      </c>
      <c r="K18" s="161">
        <v>105.8</v>
      </c>
      <c r="L18" s="161">
        <f t="shared" si="8"/>
        <v>-12.659999999999997</v>
      </c>
      <c r="M18" s="208">
        <f>K18/F18</f>
        <v>0.8931284821880804</v>
      </c>
      <c r="N18" s="164">
        <f>E18-червень!E18</f>
        <v>0</v>
      </c>
      <c r="O18" s="168">
        <f>F18-червень!F18</f>
        <v>0</v>
      </c>
      <c r="P18" s="167">
        <f t="shared" si="9"/>
        <v>0</v>
      </c>
      <c r="Q18" s="158"/>
      <c r="R18" s="37">
        <v>0</v>
      </c>
      <c r="S18" s="100">
        <f>#N/A</f>
        <v>0</v>
      </c>
    </row>
    <row r="19" spans="1:19" s="6" customFormat="1" ht="18">
      <c r="A19" s="8"/>
      <c r="B19" s="13" t="s">
        <v>172</v>
      </c>
      <c r="C19" s="43"/>
      <c r="D19" s="150">
        <f>D20+D21+D22</f>
        <v>130000</v>
      </c>
      <c r="E19" s="150">
        <v>71100</v>
      </c>
      <c r="F19" s="156">
        <v>59400.33</v>
      </c>
      <c r="G19" s="150">
        <f t="shared" si="0"/>
        <v>-11699.669999999998</v>
      </c>
      <c r="H19" s="157">
        <f>F19/E19*100</f>
        <v>83.54476793248945</v>
      </c>
      <c r="I19" s="158">
        <f t="shared" si="2"/>
        <v>-70599.67</v>
      </c>
      <c r="J19" s="158">
        <f>F19/D19*100</f>
        <v>45.69256153846154</v>
      </c>
      <c r="K19" s="161">
        <v>54291.2</v>
      </c>
      <c r="L19" s="161">
        <f t="shared" si="8"/>
        <v>-5109.130000000005</v>
      </c>
      <c r="M19" s="213">
        <f>F19/K19</f>
        <v>1.0941060429682896</v>
      </c>
      <c r="N19" s="164">
        <f>E19-червень!E19</f>
        <v>11500</v>
      </c>
      <c r="O19" s="168">
        <f>F19-червень!F19</f>
        <v>5440.220000000001</v>
      </c>
      <c r="P19" s="167">
        <f t="shared" si="9"/>
        <v>-6059.779999999999</v>
      </c>
      <c r="Q19" s="158">
        <f aca="true" t="shared" si="10" ref="Q19:Q24">O19/N19*100</f>
        <v>47.30626086956523</v>
      </c>
      <c r="R19" s="294">
        <v>8800</v>
      </c>
      <c r="S19" s="100">
        <f>#N/A</f>
        <v>-3359.8099999999977</v>
      </c>
    </row>
    <row r="20" spans="1:19" s="6" customFormat="1" ht="61.5">
      <c r="A20" s="8"/>
      <c r="B20" s="252" t="s">
        <v>205</v>
      </c>
      <c r="C20" s="123">
        <v>14040000</v>
      </c>
      <c r="D20" s="253">
        <v>76500</v>
      </c>
      <c r="E20" s="253">
        <v>42450</v>
      </c>
      <c r="F20" s="201">
        <v>36347.96</v>
      </c>
      <c r="G20" s="253">
        <f t="shared" si="0"/>
        <v>-6102.040000000001</v>
      </c>
      <c r="H20" s="195">
        <f>F20/E20*100</f>
        <v>85.62534746760895</v>
      </c>
      <c r="I20" s="254">
        <f t="shared" si="2"/>
        <v>-40152.04</v>
      </c>
      <c r="J20" s="254">
        <f>F20/D20*100</f>
        <v>47.51367320261438</v>
      </c>
      <c r="K20" s="255">
        <v>54291.2</v>
      </c>
      <c r="L20" s="166">
        <f t="shared" si="8"/>
        <v>17943.239999999998</v>
      </c>
      <c r="M20" s="256">
        <f>F20/K20</f>
        <v>0.6695000294707062</v>
      </c>
      <c r="N20" s="195">
        <f>E20-червень!E20</f>
        <v>6550</v>
      </c>
      <c r="O20" s="179">
        <f>F20-червень!F20</f>
        <v>5112.700000000001</v>
      </c>
      <c r="P20" s="166">
        <f t="shared" si="9"/>
        <v>-1437.2999999999993</v>
      </c>
      <c r="Q20" s="254">
        <f t="shared" si="10"/>
        <v>78.05648854961834</v>
      </c>
      <c r="R20" s="104">
        <v>4450</v>
      </c>
      <c r="S20" s="104">
        <f>#N/A</f>
        <v>662.7400000000016</v>
      </c>
    </row>
    <row r="21" spans="1:19" s="6" customFormat="1" ht="18">
      <c r="A21" s="8"/>
      <c r="B21" s="252" t="s">
        <v>170</v>
      </c>
      <c r="C21" s="123">
        <v>14021900</v>
      </c>
      <c r="D21" s="253">
        <v>10700</v>
      </c>
      <c r="E21" s="253">
        <v>5850</v>
      </c>
      <c r="F21" s="201">
        <v>4942.32</v>
      </c>
      <c r="G21" s="253">
        <f t="shared" si="0"/>
        <v>-907.6800000000003</v>
      </c>
      <c r="H21" s="195">
        <f>F21/E21*100</f>
        <v>84.48410256410256</v>
      </c>
      <c r="I21" s="254">
        <f t="shared" si="2"/>
        <v>-5757.68</v>
      </c>
      <c r="J21" s="254">
        <f>F21/D21*100</f>
        <v>46.18990654205607</v>
      </c>
      <c r="K21" s="255">
        <v>0</v>
      </c>
      <c r="L21" s="166">
        <f>#N/A</f>
        <v>4942.32</v>
      </c>
      <c r="M21" s="256"/>
      <c r="N21" s="195">
        <f>E21-червень!E21</f>
        <v>950</v>
      </c>
      <c r="O21" s="179">
        <f>F21-червень!F21</f>
        <v>193.98999999999978</v>
      </c>
      <c r="P21" s="166">
        <f t="shared" si="9"/>
        <v>-756.0100000000002</v>
      </c>
      <c r="Q21" s="254">
        <f t="shared" si="10"/>
        <v>20.419999999999977</v>
      </c>
      <c r="R21" s="104">
        <v>900</v>
      </c>
      <c r="S21" s="104">
        <f>#N/A</f>
        <v>-706.0100000000002</v>
      </c>
    </row>
    <row r="22" spans="1:19" s="6" customFormat="1" ht="18">
      <c r="A22" s="8"/>
      <c r="B22" s="252" t="s">
        <v>171</v>
      </c>
      <c r="C22" s="123">
        <v>14031900</v>
      </c>
      <c r="D22" s="253">
        <v>42800</v>
      </c>
      <c r="E22" s="253">
        <v>22800</v>
      </c>
      <c r="F22" s="201">
        <v>18110.05</v>
      </c>
      <c r="G22" s="253">
        <f t="shared" si="0"/>
        <v>-4689.950000000001</v>
      </c>
      <c r="H22" s="195">
        <f>F22/E22*100</f>
        <v>79.43004385964912</v>
      </c>
      <c r="I22" s="254">
        <f t="shared" si="2"/>
        <v>-24689.95</v>
      </c>
      <c r="J22" s="254">
        <f>F22/D22*100</f>
        <v>42.313200934579434</v>
      </c>
      <c r="K22" s="255">
        <v>0</v>
      </c>
      <c r="L22" s="166">
        <f>#N/A</f>
        <v>18110.05</v>
      </c>
      <c r="M22" s="256"/>
      <c r="N22" s="195">
        <f>E22-червень!E22</f>
        <v>4000</v>
      </c>
      <c r="O22" s="179">
        <f>F22-червень!F22</f>
        <v>133.52999999999884</v>
      </c>
      <c r="P22" s="166">
        <f t="shared" si="9"/>
        <v>-3866.470000000001</v>
      </c>
      <c r="Q22" s="254">
        <f t="shared" si="10"/>
        <v>3.338249999999971</v>
      </c>
      <c r="R22" s="104">
        <v>3800</v>
      </c>
      <c r="S22" s="104">
        <f>#N/A</f>
        <v>-3666.470000000001</v>
      </c>
    </row>
    <row r="23" spans="1:19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239289.2</v>
      </c>
      <c r="F23" s="223">
        <f>F24+F32+F33+F34+F35</f>
        <v>246365.72999999998</v>
      </c>
      <c r="G23" s="150">
        <f>#N/A</f>
        <v>7076.229999999981</v>
      </c>
      <c r="H23" s="157">
        <f>#N/A</f>
        <v>102.95718736992725</v>
      </c>
      <c r="I23" s="158">
        <f>#N/A</f>
        <v>-154764.66999999998</v>
      </c>
      <c r="J23" s="158">
        <f>#N/A</f>
        <v>61.417836756703124</v>
      </c>
      <c r="K23" s="158">
        <v>193690.84</v>
      </c>
      <c r="L23" s="161">
        <f>#N/A</f>
        <v>52674.59</v>
      </c>
      <c r="M23" s="209">
        <f>#N/A</f>
        <v>1.2719518899293327</v>
      </c>
      <c r="N23" s="157">
        <f>E23-червень!E23</f>
        <v>39664.600000000035</v>
      </c>
      <c r="O23" s="160">
        <f>F23-червень!F23</f>
        <v>42561.609999999986</v>
      </c>
      <c r="P23" s="161">
        <f t="shared" si="9"/>
        <v>2897.009999999951</v>
      </c>
      <c r="Q23" s="158">
        <f t="shared" si="10"/>
        <v>107.30376708702458</v>
      </c>
      <c r="R23" s="288">
        <f>R24+R33+R35</f>
        <v>22714</v>
      </c>
      <c r="S23" s="294">
        <f>#N/A</f>
        <v>19847.309999999998</v>
      </c>
    </row>
    <row r="24" spans="1:19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120070.9</v>
      </c>
      <c r="F24" s="223">
        <f>F25+F28+F29</f>
        <v>120635.05</v>
      </c>
      <c r="G24" s="150">
        <f>#N/A</f>
        <v>563.8000000000029</v>
      </c>
      <c r="H24" s="157">
        <f>#N/A</f>
        <v>100.46955590405335</v>
      </c>
      <c r="I24" s="158">
        <f>#N/A</f>
        <v>-85986.3</v>
      </c>
      <c r="J24" s="158">
        <f>#N/A</f>
        <v>58.384530130044865</v>
      </c>
      <c r="K24" s="158">
        <v>105956.73</v>
      </c>
      <c r="L24" s="161">
        <f>#N/A</f>
        <v>14677.970000000001</v>
      </c>
      <c r="M24" s="209">
        <f>#N/A</f>
        <v>1.138527963254434</v>
      </c>
      <c r="N24" s="157">
        <f>E24-червень!E24</f>
        <v>21398</v>
      </c>
      <c r="O24" s="160">
        <f>F24-червень!F24</f>
        <v>21241.380000000005</v>
      </c>
      <c r="P24" s="161">
        <f t="shared" si="9"/>
        <v>-156.61999999999534</v>
      </c>
      <c r="Q24" s="158">
        <f t="shared" si="10"/>
        <v>99.26806243574168</v>
      </c>
      <c r="R24" s="293">
        <f>R25+R28+R29</f>
        <v>15007</v>
      </c>
      <c r="S24" s="293">
        <f>#N/A</f>
        <v>6234.029999999999</v>
      </c>
    </row>
    <row r="25" spans="1:19" s="6" customFormat="1" ht="18">
      <c r="A25" s="8"/>
      <c r="B25" s="50" t="s">
        <v>74</v>
      </c>
      <c r="C25" s="123"/>
      <c r="D25" s="171">
        <v>22809</v>
      </c>
      <c r="E25" s="171">
        <v>15199.1</v>
      </c>
      <c r="F25" s="172">
        <v>15862.36</v>
      </c>
      <c r="G25" s="171">
        <f>#N/A</f>
        <v>662.8999999999996</v>
      </c>
      <c r="H25" s="173">
        <f>#N/A</f>
        <v>104.3614424538295</v>
      </c>
      <c r="I25" s="174">
        <f>#N/A</f>
        <v>-6947</v>
      </c>
      <c r="J25" s="174">
        <f>#N/A</f>
        <v>69.54272436318996</v>
      </c>
      <c r="K25" s="175">
        <v>13870.14</v>
      </c>
      <c r="L25" s="166">
        <f>#N/A</f>
        <v>1991.8600000000006</v>
      </c>
      <c r="M25" s="215">
        <f>#N/A</f>
        <v>1.1436077790130454</v>
      </c>
      <c r="N25" s="195">
        <f>E25-червень!E25</f>
        <v>4810</v>
      </c>
      <c r="O25" s="179">
        <f>F25-червень!F25</f>
        <v>4776.83</v>
      </c>
      <c r="P25" s="177">
        <f t="shared" si="9"/>
        <v>-33.17000000000007</v>
      </c>
      <c r="Q25" s="174">
        <f>O25/N25</f>
        <v>0.9931039501039501</v>
      </c>
      <c r="R25" s="104">
        <v>800</v>
      </c>
      <c r="S25" s="104">
        <f>#N/A</f>
        <v>3976.4699999999993</v>
      </c>
    </row>
    <row r="26" spans="1:19" s="6" customFormat="1" ht="18" customHeight="1">
      <c r="A26" s="8"/>
      <c r="B26" s="196" t="s">
        <v>109</v>
      </c>
      <c r="C26" s="197"/>
      <c r="D26" s="198">
        <v>1822.3</v>
      </c>
      <c r="E26" s="198">
        <v>1160</v>
      </c>
      <c r="F26" s="163">
        <v>436.63</v>
      </c>
      <c r="G26" s="198">
        <f>#N/A</f>
        <v>-764.45</v>
      </c>
      <c r="H26" s="199">
        <f>#N/A</f>
        <v>34.099137931034484</v>
      </c>
      <c r="I26" s="200">
        <f>#N/A</f>
        <v>-1426.75</v>
      </c>
      <c r="J26" s="200">
        <f>#N/A</f>
        <v>21.706085715853593</v>
      </c>
      <c r="K26" s="200">
        <v>537.83</v>
      </c>
      <c r="L26" s="200">
        <f>#N/A</f>
        <v>-142.28000000000003</v>
      </c>
      <c r="M26" s="228">
        <f>#N/A</f>
        <v>0.7354554413104513</v>
      </c>
      <c r="N26" s="237">
        <f>E26-червень!E26</f>
        <v>450</v>
      </c>
      <c r="O26" s="237">
        <f>F26-червень!F26</f>
        <v>223.37</v>
      </c>
      <c r="P26" s="200">
        <f>#N/A</f>
        <v>-267.71</v>
      </c>
      <c r="Q26" s="200">
        <f>#N/A</f>
        <v>40.5088888888889</v>
      </c>
      <c r="R26" s="104"/>
      <c r="S26" s="104">
        <f>#N/A</f>
        <v>182.29000000000002</v>
      </c>
    </row>
    <row r="27" spans="1:19" s="6" customFormat="1" ht="18" customHeight="1">
      <c r="A27" s="8"/>
      <c r="B27" s="196" t="s">
        <v>110</v>
      </c>
      <c r="C27" s="197"/>
      <c r="D27" s="198">
        <v>20986.7</v>
      </c>
      <c r="E27" s="198">
        <v>14039.1</v>
      </c>
      <c r="F27" s="163">
        <v>15425.73</v>
      </c>
      <c r="G27" s="198">
        <f>#N/A</f>
        <v>1315.789999999999</v>
      </c>
      <c r="H27" s="199">
        <f>#N/A</f>
        <v>109.37232443675164</v>
      </c>
      <c r="I27" s="200">
        <f>#N/A</f>
        <v>-5631.810000000001</v>
      </c>
      <c r="J27" s="200">
        <f>#N/A</f>
        <v>73.16486155517542</v>
      </c>
      <c r="K27" s="200">
        <v>13332.31</v>
      </c>
      <c r="L27" s="200">
        <f>#N/A</f>
        <v>2022.58</v>
      </c>
      <c r="M27" s="228">
        <f>#N/A</f>
        <v>1.1517051433697536</v>
      </c>
      <c r="N27" s="237">
        <f>E27-червень!E27</f>
        <v>4360</v>
      </c>
      <c r="O27" s="237">
        <f>F27-червень!F27</f>
        <v>4553.469999999999</v>
      </c>
      <c r="P27" s="200">
        <f>#N/A</f>
        <v>122.6299999999992</v>
      </c>
      <c r="Q27" s="200">
        <f>#N/A</f>
        <v>102.81261467889907</v>
      </c>
      <c r="R27" s="104"/>
      <c r="S27" s="104">
        <f>#N/A</f>
        <v>4482.629999999999</v>
      </c>
    </row>
    <row r="28" spans="1:19" s="6" customFormat="1" ht="18">
      <c r="A28" s="8"/>
      <c r="B28" s="50" t="s">
        <v>75</v>
      </c>
      <c r="C28" s="123"/>
      <c r="D28" s="171">
        <v>820</v>
      </c>
      <c r="E28" s="171">
        <v>256.8</v>
      </c>
      <c r="F28" s="172">
        <v>-40.81</v>
      </c>
      <c r="G28" s="171">
        <f>#N/A</f>
        <v>-297.6</v>
      </c>
      <c r="H28" s="173">
        <f>#N/A</f>
        <v>-15.887850467289718</v>
      </c>
      <c r="I28" s="174">
        <f>#N/A</f>
        <v>-860.8</v>
      </c>
      <c r="J28" s="174">
        <f>#N/A</f>
        <v>-4.975609756097561</v>
      </c>
      <c r="K28" s="174">
        <v>478.8</v>
      </c>
      <c r="L28" s="174">
        <f>#N/A</f>
        <v>-519.6</v>
      </c>
      <c r="M28" s="212">
        <f>#N/A</f>
        <v>-0.08521303258145363</v>
      </c>
      <c r="N28" s="195">
        <f>E28-червень!E28</f>
        <v>123</v>
      </c>
      <c r="O28" s="179">
        <f>F28-червень!F28</f>
        <v>48.42</v>
      </c>
      <c r="P28" s="177">
        <f>#N/A</f>
        <v>-74.57</v>
      </c>
      <c r="Q28" s="174">
        <f>O28/N28*100</f>
        <v>39.36585365853659</v>
      </c>
      <c r="R28" s="104">
        <v>-25</v>
      </c>
      <c r="S28" s="104">
        <f>#N/A</f>
        <v>73.43</v>
      </c>
    </row>
    <row r="29" spans="1:19" s="6" customFormat="1" ht="18">
      <c r="A29" s="8"/>
      <c r="B29" s="50" t="s">
        <v>76</v>
      </c>
      <c r="C29" s="123"/>
      <c r="D29" s="171">
        <v>182992</v>
      </c>
      <c r="E29" s="171">
        <v>104615</v>
      </c>
      <c r="F29" s="172">
        <v>104813.5</v>
      </c>
      <c r="G29" s="171">
        <f>#N/A</f>
        <v>198.5</v>
      </c>
      <c r="H29" s="173">
        <f>#N/A</f>
        <v>100.18974334464465</v>
      </c>
      <c r="I29" s="174">
        <f>#N/A</f>
        <v>-78178.5</v>
      </c>
      <c r="J29" s="174">
        <f>#N/A</f>
        <v>57.277640552592466</v>
      </c>
      <c r="K29" s="175">
        <v>91607.79</v>
      </c>
      <c r="L29" s="175">
        <f>#N/A</f>
        <v>13205.710000000006</v>
      </c>
      <c r="M29" s="211">
        <f>#N/A</f>
        <v>1.1441548802781947</v>
      </c>
      <c r="N29" s="195">
        <f>E29-червень!E29</f>
        <v>16465</v>
      </c>
      <c r="O29" s="179">
        <f>F29-червень!F29</f>
        <v>16416.130000000005</v>
      </c>
      <c r="P29" s="177">
        <f>#N/A</f>
        <v>-48.86999999999534</v>
      </c>
      <c r="Q29" s="174">
        <f>O29/N29*100</f>
        <v>99.7031885818403</v>
      </c>
      <c r="R29" s="104">
        <v>14232</v>
      </c>
      <c r="S29" s="104">
        <f>#N/A</f>
        <v>2184.1300000000047</v>
      </c>
    </row>
    <row r="30" spans="1:19" s="6" customFormat="1" ht="18" customHeight="1">
      <c r="A30" s="8"/>
      <c r="B30" s="196" t="s">
        <v>111</v>
      </c>
      <c r="C30" s="197"/>
      <c r="D30" s="198">
        <v>57533</v>
      </c>
      <c r="E30" s="198">
        <v>32715</v>
      </c>
      <c r="F30" s="163">
        <v>35855.88</v>
      </c>
      <c r="G30" s="198">
        <f>#N/A</f>
        <v>3081.6900000000023</v>
      </c>
      <c r="H30" s="199">
        <f>#N/A</f>
        <v>109.41980742778543</v>
      </c>
      <c r="I30" s="200">
        <f>#N/A</f>
        <v>-21736.309999999998</v>
      </c>
      <c r="J30" s="200">
        <f>#N/A</f>
        <v>62.219404515669275</v>
      </c>
      <c r="K30" s="200">
        <v>29285.76</v>
      </c>
      <c r="L30" s="200">
        <f>#N/A</f>
        <v>6510.930000000004</v>
      </c>
      <c r="M30" s="228">
        <f>#N/A</f>
        <v>1.2223240919819054</v>
      </c>
      <c r="N30" s="237">
        <f>E30-червень!E30</f>
        <v>5935</v>
      </c>
      <c r="O30" s="237">
        <f>F30-червень!F30</f>
        <v>5197.929999999997</v>
      </c>
      <c r="P30" s="200">
        <f>#N/A</f>
        <v>-796.2599999999984</v>
      </c>
      <c r="Q30" s="200">
        <f>O30/N30*100</f>
        <v>87.58096040438073</v>
      </c>
      <c r="R30" s="107"/>
      <c r="S30" s="100">
        <f>#N/A</f>
        <v>5138.740000000002</v>
      </c>
    </row>
    <row r="31" spans="1:19" s="6" customFormat="1" ht="18" customHeight="1">
      <c r="A31" s="8"/>
      <c r="B31" s="196" t="s">
        <v>112</v>
      </c>
      <c r="C31" s="197"/>
      <c r="D31" s="198">
        <v>125459</v>
      </c>
      <c r="E31" s="198">
        <v>71900</v>
      </c>
      <c r="F31" s="163">
        <v>68957.62</v>
      </c>
      <c r="G31" s="198">
        <f>#N/A</f>
        <v>-3451</v>
      </c>
      <c r="H31" s="199">
        <f>#N/A</f>
        <v>95.20027816411682</v>
      </c>
      <c r="I31" s="200">
        <f>#N/A</f>
        <v>-57010</v>
      </c>
      <c r="J31" s="200">
        <f>#N/A</f>
        <v>54.558859866569954</v>
      </c>
      <c r="K31" s="200">
        <v>62322.03</v>
      </c>
      <c r="L31" s="200">
        <f>#N/A</f>
        <v>6126.970000000001</v>
      </c>
      <c r="M31" s="228">
        <f>#N/A</f>
        <v>1.0983114638595695</v>
      </c>
      <c r="N31" s="237">
        <f>E31-червень!E31</f>
        <v>10530</v>
      </c>
      <c r="O31" s="237">
        <f>F31-червень!F31</f>
        <v>11218.199999999997</v>
      </c>
      <c r="P31" s="200">
        <f>#N/A</f>
        <v>179.58000000000175</v>
      </c>
      <c r="Q31" s="200">
        <f>O31/N31*100</f>
        <v>106.5356125356125</v>
      </c>
      <c r="R31" s="107"/>
      <c r="S31" s="100">
        <f>#N/A</f>
        <v>10709.580000000002</v>
      </c>
    </row>
    <row r="32" spans="1:19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>#N/A</f>
        <v>0.2</v>
      </c>
      <c r="H32" s="157"/>
      <c r="I32" s="158">
        <f>#N/A</f>
        <v>0.2</v>
      </c>
      <c r="J32" s="158"/>
      <c r="K32" s="167">
        <v>0.15</v>
      </c>
      <c r="L32" s="158">
        <f>#N/A</f>
        <v>0.05000000000000002</v>
      </c>
      <c r="M32" s="210"/>
      <c r="N32" s="157">
        <f>E32-червень!E32</f>
        <v>0</v>
      </c>
      <c r="O32" s="160">
        <f>F32-червень!F32</f>
        <v>0</v>
      </c>
      <c r="P32" s="161">
        <f>#N/A</f>
        <v>0</v>
      </c>
      <c r="Q32" s="158"/>
      <c r="R32" s="293"/>
      <c r="S32" s="293">
        <f>#N/A</f>
        <v>0</v>
      </c>
    </row>
    <row r="33" spans="1:19" s="6" customFormat="1" ht="18">
      <c r="A33" s="8"/>
      <c r="B33" s="44" t="s">
        <v>82</v>
      </c>
      <c r="C33" s="114">
        <v>18030000</v>
      </c>
      <c r="D33" s="150">
        <v>115</v>
      </c>
      <c r="E33" s="150">
        <v>55.6</v>
      </c>
      <c r="F33" s="156">
        <v>86.45</v>
      </c>
      <c r="G33" s="150">
        <f>#N/A</f>
        <v>30.85</v>
      </c>
      <c r="H33" s="157">
        <f>#N/A</f>
        <v>155.48561151079136</v>
      </c>
      <c r="I33" s="158">
        <f>#N/A</f>
        <v>-28.549999999999997</v>
      </c>
      <c r="J33" s="158">
        <f>#N/A</f>
        <v>75.17391304347827</v>
      </c>
      <c r="K33" s="158">
        <v>65.62</v>
      </c>
      <c r="L33" s="158">
        <f>#N/A</f>
        <v>20.83</v>
      </c>
      <c r="M33" s="210">
        <f>F33/K33</f>
        <v>1.3174337092349893</v>
      </c>
      <c r="N33" s="157">
        <f>E33-червень!E33</f>
        <v>9.600000000000001</v>
      </c>
      <c r="O33" s="160">
        <f>F33-червень!F33</f>
        <v>7.219999999999999</v>
      </c>
      <c r="P33" s="161">
        <f>#N/A</f>
        <v>-2.3800000000000026</v>
      </c>
      <c r="Q33" s="158">
        <f aca="true" t="shared" si="11" ref="Q33:Q41">O33/N33*100</f>
        <v>75.20833333333331</v>
      </c>
      <c r="R33" s="293">
        <v>7</v>
      </c>
      <c r="S33" s="293">
        <f>#N/A</f>
        <v>0.21999999999999886</v>
      </c>
    </row>
    <row r="34" spans="1:19" s="6" customFormat="1" ht="30.75">
      <c r="A34" s="8"/>
      <c r="B34" s="225" t="s">
        <v>83</v>
      </c>
      <c r="C34" s="114">
        <v>18040000</v>
      </c>
      <c r="D34" s="150"/>
      <c r="E34" s="150"/>
      <c r="F34" s="156">
        <v>-34.92</v>
      </c>
      <c r="G34" s="150">
        <f>#N/A</f>
        <v>-34.92</v>
      </c>
      <c r="H34" s="157"/>
      <c r="I34" s="158">
        <f>#N/A</f>
        <v>-34.92</v>
      </c>
      <c r="J34" s="158"/>
      <c r="K34" s="158">
        <v>-138.73</v>
      </c>
      <c r="L34" s="158">
        <f>#N/A</f>
        <v>103.80999999999999</v>
      </c>
      <c r="M34" s="210">
        <f>F34/K34</f>
        <v>0.2517119584805017</v>
      </c>
      <c r="N34" s="157">
        <f>E34-червень!E34</f>
        <v>0</v>
      </c>
      <c r="O34" s="160">
        <f>F34-червень!F34</f>
        <v>-3.6000000000000014</v>
      </c>
      <c r="P34" s="161">
        <f>#N/A</f>
        <v>-3.6000000000000014</v>
      </c>
      <c r="Q34" s="158" t="e">
        <f t="shared" si="11"/>
        <v>#DIV/0!</v>
      </c>
      <c r="R34" s="293"/>
      <c r="S34" s="293">
        <f>#N/A</f>
        <v>-3.6000000000000014</v>
      </c>
    </row>
    <row r="35" spans="1:19" s="6" customFormat="1" ht="18">
      <c r="A35" s="8"/>
      <c r="B35" s="44" t="s">
        <v>84</v>
      </c>
      <c r="C35" s="114">
        <v>18050000</v>
      </c>
      <c r="D35" s="162">
        <v>194394.1</v>
      </c>
      <c r="E35" s="162">
        <v>119162.7</v>
      </c>
      <c r="F35" s="163">
        <v>125678.95</v>
      </c>
      <c r="G35" s="162">
        <f>#N/A</f>
        <v>6516.300000000003</v>
      </c>
      <c r="H35" s="164">
        <f>#N/A</f>
        <v>105.46840580147983</v>
      </c>
      <c r="I35" s="165">
        <f>#N/A</f>
        <v>-68715.1</v>
      </c>
      <c r="J35" s="165">
        <f>#N/A</f>
        <v>64.65165352240628</v>
      </c>
      <c r="K35" s="178">
        <v>87807.07</v>
      </c>
      <c r="L35" s="178">
        <f>F35-K35</f>
        <v>37871.87999999999</v>
      </c>
      <c r="M35" s="226">
        <f>F35/K35</f>
        <v>1.4313078662116843</v>
      </c>
      <c r="N35" s="157">
        <f>E35-червень!E35</f>
        <v>18257</v>
      </c>
      <c r="O35" s="160">
        <f>F35-червень!F35</f>
        <v>21316.61</v>
      </c>
      <c r="P35" s="167">
        <f>#N/A</f>
        <v>3059.6600000000035</v>
      </c>
      <c r="Q35" s="165">
        <f t="shared" si="11"/>
        <v>116.75855836117654</v>
      </c>
      <c r="R35" s="293">
        <v>7700</v>
      </c>
      <c r="S35" s="293">
        <f>#N/A</f>
        <v>13616.660000000003</v>
      </c>
    </row>
    <row r="36" spans="1:19" s="6" customFormat="1" ht="15" customHeight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0.01</v>
      </c>
      <c r="G36" s="103">
        <f>#N/A</f>
        <v>0.01</v>
      </c>
      <c r="H36" s="105"/>
      <c r="I36" s="104">
        <f>#N/A</f>
        <v>0.01</v>
      </c>
      <c r="J36" s="104"/>
      <c r="K36" s="127">
        <v>0.22</v>
      </c>
      <c r="L36" s="127">
        <f>#N/A</f>
        <v>-0.21</v>
      </c>
      <c r="M36" s="216">
        <f>#N/A</f>
        <v>0.045454545454545456</v>
      </c>
      <c r="N36" s="105">
        <f>E36-червень!E36</f>
        <v>0</v>
      </c>
      <c r="O36" s="144">
        <f>F36-червень!F36</f>
        <v>0</v>
      </c>
      <c r="P36" s="106">
        <f>#N/A</f>
        <v>0</v>
      </c>
      <c r="Q36" s="165" t="e">
        <f t="shared" si="11"/>
        <v>#DIV/0!</v>
      </c>
      <c r="R36" s="107"/>
      <c r="S36" s="107"/>
    </row>
    <row r="37" spans="1:19" s="6" customFormat="1" ht="15" customHeight="1">
      <c r="A37" s="8"/>
      <c r="B37" s="50" t="s">
        <v>91</v>
      </c>
      <c r="C37" s="102">
        <v>18050300</v>
      </c>
      <c r="D37" s="103">
        <v>41000</v>
      </c>
      <c r="E37" s="103">
        <v>23270</v>
      </c>
      <c r="F37" s="140">
        <v>24091.93</v>
      </c>
      <c r="G37" s="103">
        <f>#N/A</f>
        <v>685.7799999999988</v>
      </c>
      <c r="H37" s="105">
        <f>#N/A</f>
        <v>102.94705629565964</v>
      </c>
      <c r="I37" s="104">
        <f>#N/A</f>
        <v>-17044.22</v>
      </c>
      <c r="J37" s="104">
        <f>#N/A</f>
        <v>58.42873170731707</v>
      </c>
      <c r="K37" s="127">
        <v>21754.51</v>
      </c>
      <c r="L37" s="127">
        <f>#N/A</f>
        <v>2201.2700000000004</v>
      </c>
      <c r="M37" s="216">
        <f>#N/A</f>
        <v>1.1011868343621622</v>
      </c>
      <c r="N37" s="105">
        <f>E37-червень!E37</f>
        <v>3250</v>
      </c>
      <c r="O37" s="144">
        <f>F37-червень!F37</f>
        <v>3803.869999999999</v>
      </c>
      <c r="P37" s="106">
        <f>#N/A</f>
        <v>417.7199999999975</v>
      </c>
      <c r="Q37" s="165">
        <f t="shared" si="11"/>
        <v>117.04215384615382</v>
      </c>
      <c r="R37" s="107"/>
      <c r="S37" s="107"/>
    </row>
    <row r="38" spans="1:19" s="6" customFormat="1" ht="15" customHeight="1">
      <c r="A38" s="8"/>
      <c r="B38" s="50" t="s">
        <v>92</v>
      </c>
      <c r="C38" s="102">
        <v>18050400</v>
      </c>
      <c r="D38" s="103">
        <v>153339.1</v>
      </c>
      <c r="E38" s="103">
        <v>95860</v>
      </c>
      <c r="F38" s="140">
        <v>101556.93</v>
      </c>
      <c r="G38" s="103">
        <f>#N/A</f>
        <v>4988.110000000001</v>
      </c>
      <c r="H38" s="105">
        <f>#N/A</f>
        <v>105.20353640726059</v>
      </c>
      <c r="I38" s="104">
        <f>#N/A</f>
        <v>-52490.990000000005</v>
      </c>
      <c r="J38" s="104">
        <f>#N/A</f>
        <v>65.76803307179969</v>
      </c>
      <c r="K38" s="127">
        <v>66031.82</v>
      </c>
      <c r="L38" s="127">
        <f>#N/A</f>
        <v>34816.28999999999</v>
      </c>
      <c r="M38" s="216">
        <f>#N/A</f>
        <v>1.5272653396498839</v>
      </c>
      <c r="N38" s="105">
        <f>E38-червень!E38</f>
        <v>15000</v>
      </c>
      <c r="O38" s="144">
        <f>F38-червень!F38</f>
        <v>17506.15999999999</v>
      </c>
      <c r="P38" s="106">
        <f>#N/A</f>
        <v>1797.3399999999965</v>
      </c>
      <c r="Q38" s="165">
        <f t="shared" si="11"/>
        <v>116.70773333333327</v>
      </c>
      <c r="R38" s="107"/>
      <c r="S38" s="107"/>
    </row>
    <row r="39" spans="1:19" s="6" customFormat="1" ht="15" customHeight="1">
      <c r="A39" s="8"/>
      <c r="B39" s="50" t="s">
        <v>93</v>
      </c>
      <c r="C39" s="102">
        <v>18050500</v>
      </c>
      <c r="D39" s="103">
        <v>55</v>
      </c>
      <c r="E39" s="103">
        <v>32.7</v>
      </c>
      <c r="F39" s="140">
        <v>30.07</v>
      </c>
      <c r="G39" s="103">
        <f>#N/A</f>
        <v>-2.6300000000000026</v>
      </c>
      <c r="H39" s="105">
        <f>#N/A</f>
        <v>91.95718654434249</v>
      </c>
      <c r="I39" s="104">
        <f>#N/A</f>
        <v>-24.93</v>
      </c>
      <c r="J39" s="104">
        <f>#N/A</f>
        <v>54.67272727272727</v>
      </c>
      <c r="K39" s="127">
        <v>20.52</v>
      </c>
      <c r="L39" s="127">
        <f>#N/A</f>
        <v>9.55</v>
      </c>
      <c r="M39" s="216">
        <f>#N/A</f>
        <v>1.4653996101364524</v>
      </c>
      <c r="N39" s="105">
        <f>E39-червень!E39</f>
        <v>7.0000000000000036</v>
      </c>
      <c r="O39" s="144">
        <f>F39-червень!F39</f>
        <v>6.57</v>
      </c>
      <c r="P39" s="106">
        <f>#N/A</f>
        <v>-0.43000000000000327</v>
      </c>
      <c r="Q39" s="165">
        <f t="shared" si="11"/>
        <v>93.85714285714282</v>
      </c>
      <c r="R39" s="107"/>
      <c r="S39" s="107"/>
    </row>
    <row r="40" spans="1:19" s="6" customFormat="1" ht="15" customHeight="1">
      <c r="A40" s="8"/>
      <c r="B40" s="232"/>
      <c r="C40" s="43"/>
      <c r="D40" s="34">
        <v>0</v>
      </c>
      <c r="E40" s="34">
        <v>0</v>
      </c>
      <c r="F40" s="290">
        <v>0</v>
      </c>
      <c r="G40" s="34">
        <f>#N/A</f>
        <v>0</v>
      </c>
      <c r="H40" s="30"/>
      <c r="I40" s="37">
        <f>#N/A</f>
        <v>0</v>
      </c>
      <c r="J40" s="37"/>
      <c r="K40" s="119">
        <v>0</v>
      </c>
      <c r="L40" s="119">
        <f>#N/A</f>
        <v>0</v>
      </c>
      <c r="M40" s="217" t="e">
        <f>#N/A</f>
        <v>#DIV/0!</v>
      </c>
      <c r="N40" s="157">
        <v>0</v>
      </c>
      <c r="O40" s="160">
        <v>0</v>
      </c>
      <c r="P40" s="36">
        <f>#N/A</f>
        <v>0</v>
      </c>
      <c r="Q40" s="165" t="e">
        <f t="shared" si="11"/>
        <v>#DIV/0!</v>
      </c>
      <c r="R40" s="107"/>
      <c r="S40" s="107"/>
    </row>
    <row r="41" spans="1:19" s="6" customFormat="1" ht="17.25">
      <c r="A41" s="7"/>
      <c r="B41" s="16" t="s">
        <v>12</v>
      </c>
      <c r="C41" s="70">
        <v>20000000</v>
      </c>
      <c r="D41" s="151">
        <f>D42+D43+D44+D45+D46+D48+D50+D51+D52+D53+D54+D59+D60+D64+D47+D49</f>
        <v>59025</v>
      </c>
      <c r="E41" s="151">
        <f>E42+E43+E44+E45+E46+E48+E50+E51+E52+E53+E54+E59+E60+E64+E47+E49</f>
        <v>35193.7</v>
      </c>
      <c r="F41" s="287">
        <f>F42+F43+F44+F45+F46+F48+F50+F51+F52+F53+F54+F59+F60+F64+F47+F49</f>
        <v>40463.38999999999</v>
      </c>
      <c r="G41" s="287">
        <f>G42+G43+G44+G45+G46+G48+G50+G51+G52+G53+G54+G59+G60+G64+G47+G49</f>
        <v>5269.689999999999</v>
      </c>
      <c r="H41" s="152">
        <f>F41/E41*100</f>
        <v>114.97339012380054</v>
      </c>
      <c r="I41" s="153">
        <f>F41-D41</f>
        <v>-18561.610000000008</v>
      </c>
      <c r="J41" s="153">
        <f>F41/D41*100</f>
        <v>68.55296908089791</v>
      </c>
      <c r="K41" s="151">
        <v>36786.28</v>
      </c>
      <c r="L41" s="151">
        <f>#N/A</f>
        <v>3677.3099999999977</v>
      </c>
      <c r="M41" s="205">
        <f>#N/A</f>
        <v>1.0999641714247812</v>
      </c>
      <c r="N41" s="151">
        <f>N42+N43+N44+N45+N46+N48+N50+N51+N52+N53+N54+N59+N60+N64+N47+N49</f>
        <v>5277.6</v>
      </c>
      <c r="O41" s="151">
        <f>O42+O43+O44+O45+O46+O48+O50+O51+O52+O53+O54+O59+O60+O64+O47+O49</f>
        <v>6404.929999999999</v>
      </c>
      <c r="P41" s="151">
        <f>P42+P43+P44+P45+P46+P48+P50+P51+P52+P53+P54+P59+P60+P64</f>
        <v>1118.2200000000005</v>
      </c>
      <c r="Q41" s="151">
        <f t="shared" si="11"/>
        <v>121.36065635895102</v>
      </c>
      <c r="R41" s="15">
        <f>R42+R43+R44+R45+R46+R47+R48+R50+R51+R52+R53+R54+R59+R60+R64</f>
        <v>5598.5</v>
      </c>
      <c r="S41" s="15">
        <f>O41-R41</f>
        <v>806.4299999999994</v>
      </c>
    </row>
    <row r="42" spans="1:19" s="6" customFormat="1" ht="46.5">
      <c r="A42" s="8"/>
      <c r="B42" s="44" t="s">
        <v>98</v>
      </c>
      <c r="C42" s="43">
        <v>21010301</v>
      </c>
      <c r="D42" s="150">
        <v>580</v>
      </c>
      <c r="E42" s="150">
        <v>260</v>
      </c>
      <c r="F42" s="156">
        <v>2205.32</v>
      </c>
      <c r="G42" s="162">
        <f>F42-E42</f>
        <v>1945.3200000000002</v>
      </c>
      <c r="H42" s="164">
        <f>F42/E42*100</f>
        <v>848.2000000000002</v>
      </c>
      <c r="I42" s="165">
        <f>F42-D42</f>
        <v>1625.3200000000002</v>
      </c>
      <c r="J42" s="165">
        <f>F42/D42*100</f>
        <v>380.2275862068966</v>
      </c>
      <c r="K42" s="165">
        <v>241.39</v>
      </c>
      <c r="L42" s="165">
        <f>F42-K42</f>
        <v>1963.9300000000003</v>
      </c>
      <c r="M42" s="218">
        <f>F42/K42</f>
        <v>9.135921123493103</v>
      </c>
      <c r="N42" s="164">
        <f>E42-червень!E42</f>
        <v>0</v>
      </c>
      <c r="O42" s="168">
        <f>F42-червень!F42</f>
        <v>0.5500000000001819</v>
      </c>
      <c r="P42" s="167">
        <f>O42-N42</f>
        <v>0.5500000000001819</v>
      </c>
      <c r="Q42" s="165"/>
      <c r="R42" s="37">
        <v>0</v>
      </c>
      <c r="S42" s="37">
        <f>O42-R42</f>
        <v>0.5500000000001819</v>
      </c>
    </row>
    <row r="43" spans="1:19" s="6" customFormat="1" ht="30.75">
      <c r="A43" s="8"/>
      <c r="B43" s="129" t="s">
        <v>77</v>
      </c>
      <c r="C43" s="42">
        <v>21050000</v>
      </c>
      <c r="D43" s="150">
        <v>30000</v>
      </c>
      <c r="E43" s="150">
        <v>16500</v>
      </c>
      <c r="F43" s="156">
        <v>15892.63</v>
      </c>
      <c r="G43" s="162">
        <f aca="true" t="shared" si="12" ref="G43:G66">F43-E43</f>
        <v>-607.3700000000008</v>
      </c>
      <c r="H43" s="164">
        <f aca="true" t="shared" si="13" ref="H43:H66">F43/E43*100</f>
        <v>96.31896969696969</v>
      </c>
      <c r="I43" s="165">
        <f aca="true" t="shared" si="14" ref="I43:I66">F43-D43</f>
        <v>-14107.37</v>
      </c>
      <c r="J43" s="165">
        <f aca="true" t="shared" si="15" ref="J43:J66">F43/D43*100</f>
        <v>52.975433333333335</v>
      </c>
      <c r="K43" s="165">
        <v>17271.02</v>
      </c>
      <c r="L43" s="165">
        <f aca="true" t="shared" si="16" ref="L43:L66">F43-K43</f>
        <v>-1378.3900000000012</v>
      </c>
      <c r="M43" s="218">
        <f aca="true" t="shared" si="17" ref="M43:M66">F43/K43</f>
        <v>0.9201905851536272</v>
      </c>
      <c r="N43" s="164">
        <f>E43-червень!E43</f>
        <v>2800</v>
      </c>
      <c r="O43" s="168">
        <f>F43-червень!F43</f>
        <v>2538.99</v>
      </c>
      <c r="P43" s="167">
        <f aca="true" t="shared" si="18" ref="P43:P66">O43-N43</f>
        <v>-261.0100000000002</v>
      </c>
      <c r="Q43" s="165">
        <f aca="true" t="shared" si="19" ref="Q43:Q66">O43/N43*100</f>
        <v>90.67821428571428</v>
      </c>
      <c r="R43" s="37">
        <v>2874.5</v>
      </c>
      <c r="S43" s="37">
        <f>#N/A</f>
        <v>-335.5100000000002</v>
      </c>
    </row>
    <row r="44" spans="1:19" s="6" customFormat="1" ht="18">
      <c r="A44" s="8"/>
      <c r="B44" s="129" t="s">
        <v>61</v>
      </c>
      <c r="C44" s="42">
        <v>21080500</v>
      </c>
      <c r="D44" s="150">
        <v>40</v>
      </c>
      <c r="E44" s="150">
        <v>23</v>
      </c>
      <c r="F44" s="156">
        <v>118.3</v>
      </c>
      <c r="G44" s="162">
        <f t="shared" si="12"/>
        <v>95.3</v>
      </c>
      <c r="H44" s="164">
        <f t="shared" si="13"/>
        <v>514.3478260869565</v>
      </c>
      <c r="I44" s="165">
        <f t="shared" si="14"/>
        <v>78.3</v>
      </c>
      <c r="J44" s="165">
        <f t="shared" si="15"/>
        <v>295.75</v>
      </c>
      <c r="K44" s="165">
        <v>28.07</v>
      </c>
      <c r="L44" s="165">
        <f t="shared" si="16"/>
        <v>90.22999999999999</v>
      </c>
      <c r="M44" s="218">
        <f t="shared" si="17"/>
        <v>4.214463840399002</v>
      </c>
      <c r="N44" s="164">
        <f>E44-червень!E44</f>
        <v>1</v>
      </c>
      <c r="O44" s="168">
        <f>F44-червень!F44</f>
        <v>15.5</v>
      </c>
      <c r="P44" s="167">
        <f t="shared" si="18"/>
        <v>14.5</v>
      </c>
      <c r="Q44" s="165">
        <f t="shared" si="19"/>
        <v>1550</v>
      </c>
      <c r="R44" s="37">
        <v>10</v>
      </c>
      <c r="S44" s="37">
        <f>#N/A</f>
        <v>5.5</v>
      </c>
    </row>
    <row r="45" spans="1:19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10.79</v>
      </c>
      <c r="G45" s="162">
        <f t="shared" si="12"/>
        <v>10.79</v>
      </c>
      <c r="H45" s="164" t="e">
        <f t="shared" si="13"/>
        <v>#DIV/0!</v>
      </c>
      <c r="I45" s="165">
        <f t="shared" si="14"/>
        <v>10.79</v>
      </c>
      <c r="J45" s="165" t="e">
        <f t="shared" si="15"/>
        <v>#DIV/0!</v>
      </c>
      <c r="K45" s="165">
        <v>0.1</v>
      </c>
      <c r="L45" s="165">
        <f t="shared" si="16"/>
        <v>10.69</v>
      </c>
      <c r="M45" s="218">
        <f t="shared" si="17"/>
        <v>107.89999999999999</v>
      </c>
      <c r="N45" s="164">
        <f>E45-червень!E45</f>
        <v>0</v>
      </c>
      <c r="O45" s="168">
        <f>F45-червень!F45</f>
        <v>8.76</v>
      </c>
      <c r="P45" s="167">
        <f t="shared" si="18"/>
        <v>8.76</v>
      </c>
      <c r="Q45" s="165"/>
      <c r="R45" s="37">
        <v>0</v>
      </c>
      <c r="S45" s="37">
        <f>#N/A</f>
        <v>8.76</v>
      </c>
    </row>
    <row r="46" spans="1:19" s="6" customFormat="1" ht="18">
      <c r="A46" s="8"/>
      <c r="B46" s="130" t="s">
        <v>16</v>
      </c>
      <c r="C46" s="72">
        <v>21081100</v>
      </c>
      <c r="D46" s="150">
        <v>260</v>
      </c>
      <c r="E46" s="150">
        <v>150</v>
      </c>
      <c r="F46" s="156">
        <v>545.59</v>
      </c>
      <c r="G46" s="162">
        <f t="shared" si="12"/>
        <v>395.59000000000003</v>
      </c>
      <c r="H46" s="164">
        <f t="shared" si="13"/>
        <v>363.7266666666667</v>
      </c>
      <c r="I46" s="165">
        <f t="shared" si="14"/>
        <v>285.59000000000003</v>
      </c>
      <c r="J46" s="165">
        <f t="shared" si="15"/>
        <v>209.8423076923077</v>
      </c>
      <c r="K46" s="165">
        <v>187.96</v>
      </c>
      <c r="L46" s="165">
        <f t="shared" si="16"/>
        <v>357.63</v>
      </c>
      <c r="M46" s="218">
        <f t="shared" si="17"/>
        <v>2.902692062140881</v>
      </c>
      <c r="N46" s="164">
        <f>E46-червень!E46</f>
        <v>22</v>
      </c>
      <c r="O46" s="168">
        <f>F46-червень!F46</f>
        <v>44.06000000000006</v>
      </c>
      <c r="P46" s="167">
        <f t="shared" si="18"/>
        <v>22.06000000000006</v>
      </c>
      <c r="Q46" s="165">
        <f t="shared" si="19"/>
        <v>200.27272727272756</v>
      </c>
      <c r="R46" s="37">
        <v>70</v>
      </c>
      <c r="S46" s="37">
        <f>#N/A</f>
        <v>-25.92999999999995</v>
      </c>
    </row>
    <row r="47" spans="1:19" s="6" customFormat="1" ht="46.5">
      <c r="A47" s="8"/>
      <c r="B47" s="130" t="s">
        <v>80</v>
      </c>
      <c r="C47" s="72">
        <v>21081500</v>
      </c>
      <c r="D47" s="150">
        <v>97.5</v>
      </c>
      <c r="E47" s="150">
        <v>61.2</v>
      </c>
      <c r="F47" s="156">
        <v>71.03</v>
      </c>
      <c r="G47" s="162">
        <f t="shared" si="12"/>
        <v>9.829999999999998</v>
      </c>
      <c r="H47" s="164">
        <f t="shared" si="13"/>
        <v>116.06209150326796</v>
      </c>
      <c r="I47" s="165">
        <f t="shared" si="14"/>
        <v>-26.47</v>
      </c>
      <c r="J47" s="165">
        <f t="shared" si="15"/>
        <v>72.85128205128206</v>
      </c>
      <c r="K47" s="165">
        <v>27.48</v>
      </c>
      <c r="L47" s="165">
        <f t="shared" si="16"/>
        <v>43.55</v>
      </c>
      <c r="M47" s="218">
        <f t="shared" si="17"/>
        <v>2.5847889374090247</v>
      </c>
      <c r="N47" s="164">
        <f>E47-червень!E47</f>
        <v>13.600000000000001</v>
      </c>
      <c r="O47" s="168">
        <f>F47-червень!F47</f>
        <v>0.01999999999999602</v>
      </c>
      <c r="P47" s="167">
        <f t="shared" si="18"/>
        <v>-13.580000000000005</v>
      </c>
      <c r="Q47" s="165">
        <f t="shared" si="19"/>
        <v>0.1470588235293825</v>
      </c>
      <c r="R47" s="37">
        <v>0</v>
      </c>
      <c r="S47" s="37">
        <f>#N/A</f>
        <v>0.01999999999999602</v>
      </c>
    </row>
    <row r="48" spans="1:19" s="6" customFormat="1" ht="30.75">
      <c r="A48" s="8"/>
      <c r="B48" s="148" t="s">
        <v>105</v>
      </c>
      <c r="C48" s="49">
        <v>22010300</v>
      </c>
      <c r="D48" s="150">
        <v>730</v>
      </c>
      <c r="E48" s="150">
        <v>520</v>
      </c>
      <c r="F48" s="156">
        <v>714.6</v>
      </c>
      <c r="G48" s="162">
        <f t="shared" si="12"/>
        <v>194.60000000000002</v>
      </c>
      <c r="H48" s="164">
        <f t="shared" si="13"/>
        <v>137.42307692307693</v>
      </c>
      <c r="I48" s="165">
        <f t="shared" si="14"/>
        <v>-15.399999999999977</v>
      </c>
      <c r="J48" s="165">
        <f t="shared" si="15"/>
        <v>97.89041095890411</v>
      </c>
      <c r="K48" s="165">
        <v>248.37</v>
      </c>
      <c r="L48" s="165">
        <f t="shared" si="16"/>
        <v>466.23</v>
      </c>
      <c r="M48" s="218">
        <f t="shared" si="17"/>
        <v>2.8771590771832347</v>
      </c>
      <c r="N48" s="164">
        <f>E48-червень!E48</f>
        <v>60</v>
      </c>
      <c r="O48" s="168">
        <f>F48-червень!F48</f>
        <v>85.68000000000006</v>
      </c>
      <c r="P48" s="167">
        <f t="shared" si="18"/>
        <v>25.680000000000064</v>
      </c>
      <c r="Q48" s="165">
        <f t="shared" si="19"/>
        <v>142.8000000000001</v>
      </c>
      <c r="R48" s="37">
        <v>100</v>
      </c>
      <c r="S48" s="37">
        <f>#N/A</f>
        <v>-14.319999999999936</v>
      </c>
    </row>
    <row r="49" spans="1:19" s="6" customFormat="1" ht="18">
      <c r="A49" s="8"/>
      <c r="B49" s="130" t="s">
        <v>223</v>
      </c>
      <c r="C49" s="49">
        <v>22010200</v>
      </c>
      <c r="D49" s="150">
        <v>0</v>
      </c>
      <c r="E49" s="150">
        <v>0</v>
      </c>
      <c r="F49" s="156">
        <v>23.38</v>
      </c>
      <c r="G49" s="162">
        <f t="shared" si="12"/>
        <v>23.38</v>
      </c>
      <c r="H49" s="164" t="e">
        <f t="shared" si="13"/>
        <v>#DIV/0!</v>
      </c>
      <c r="I49" s="165">
        <f t="shared" si="14"/>
        <v>23.38</v>
      </c>
      <c r="J49" s="165" t="e">
        <f t="shared" si="15"/>
        <v>#DIV/0!</v>
      </c>
      <c r="K49" s="165"/>
      <c r="L49" s="165">
        <f t="shared" si="16"/>
        <v>23.38</v>
      </c>
      <c r="M49" s="218" t="e">
        <f t="shared" si="17"/>
        <v>#DIV/0!</v>
      </c>
      <c r="N49" s="164">
        <f>E49-червень!E49</f>
        <v>0</v>
      </c>
      <c r="O49" s="168">
        <f>F49-червень!F40</f>
        <v>22.689999999999998</v>
      </c>
      <c r="P49" s="167">
        <f t="shared" si="18"/>
        <v>22.689999999999998</v>
      </c>
      <c r="Q49" s="165"/>
      <c r="R49" s="37"/>
      <c r="S49" s="37">
        <f>#N/A</f>
        <v>22.689999999999998</v>
      </c>
    </row>
    <row r="50" spans="1:19" s="6" customFormat="1" ht="18">
      <c r="A50" s="8"/>
      <c r="B50" s="33" t="s">
        <v>78</v>
      </c>
      <c r="C50" s="72">
        <v>22012500</v>
      </c>
      <c r="D50" s="150">
        <v>11000</v>
      </c>
      <c r="E50" s="150">
        <v>7040</v>
      </c>
      <c r="F50" s="156">
        <v>10783.99</v>
      </c>
      <c r="G50" s="162">
        <f t="shared" si="12"/>
        <v>3743.99</v>
      </c>
      <c r="H50" s="164">
        <f t="shared" si="13"/>
        <v>153.18167613636365</v>
      </c>
      <c r="I50" s="165">
        <f t="shared" si="14"/>
        <v>-216.01000000000022</v>
      </c>
      <c r="J50" s="165">
        <f t="shared" si="15"/>
        <v>98.03627272727272</v>
      </c>
      <c r="K50" s="165">
        <v>6090.63</v>
      </c>
      <c r="L50" s="165">
        <f t="shared" si="16"/>
        <v>4693.36</v>
      </c>
      <c r="M50" s="218">
        <f t="shared" si="17"/>
        <v>1.770586950775207</v>
      </c>
      <c r="N50" s="164">
        <f>E50-червень!E50</f>
        <v>1000</v>
      </c>
      <c r="O50" s="168">
        <f>F50-червень!F50</f>
        <v>2419.6800000000003</v>
      </c>
      <c r="P50" s="167">
        <f t="shared" si="18"/>
        <v>1419.6800000000003</v>
      </c>
      <c r="Q50" s="165">
        <f t="shared" si="19"/>
        <v>241.96800000000005</v>
      </c>
      <c r="R50" s="37">
        <v>1400</v>
      </c>
      <c r="S50" s="37">
        <f>#N/A</f>
        <v>1019.6900000000005</v>
      </c>
    </row>
    <row r="51" spans="1:19" s="6" customFormat="1" ht="31.5">
      <c r="A51" s="8"/>
      <c r="B51" s="149" t="s">
        <v>99</v>
      </c>
      <c r="C51" s="72">
        <v>22012600</v>
      </c>
      <c r="D51" s="150">
        <v>310</v>
      </c>
      <c r="E51" s="150">
        <v>175</v>
      </c>
      <c r="F51" s="156">
        <v>306.17</v>
      </c>
      <c r="G51" s="162">
        <f t="shared" si="12"/>
        <v>131.17000000000002</v>
      </c>
      <c r="H51" s="164">
        <f t="shared" si="13"/>
        <v>174.95428571428573</v>
      </c>
      <c r="I51" s="165">
        <f t="shared" si="14"/>
        <v>-3.829999999999984</v>
      </c>
      <c r="J51" s="165">
        <f t="shared" si="15"/>
        <v>98.76451612903226</v>
      </c>
      <c r="K51" s="165">
        <v>117.39</v>
      </c>
      <c r="L51" s="165">
        <f t="shared" si="16"/>
        <v>188.78000000000003</v>
      </c>
      <c r="M51" s="218">
        <f t="shared" si="17"/>
        <v>2.608143794190306</v>
      </c>
      <c r="N51" s="164">
        <f>E51-червень!E51</f>
        <v>25</v>
      </c>
      <c r="O51" s="168">
        <f>F51-червень!F51</f>
        <v>43.360000000000014</v>
      </c>
      <c r="P51" s="167">
        <f t="shared" si="18"/>
        <v>18.360000000000014</v>
      </c>
      <c r="Q51" s="165">
        <f t="shared" si="19"/>
        <v>173.44000000000005</v>
      </c>
      <c r="R51" s="37">
        <v>40</v>
      </c>
      <c r="S51" s="37">
        <f>#N/A</f>
        <v>3.3899999999999864</v>
      </c>
    </row>
    <row r="52" spans="1:19" s="6" customFormat="1" ht="31.5">
      <c r="A52" s="8"/>
      <c r="B52" s="149" t="s">
        <v>106</v>
      </c>
      <c r="C52" s="72">
        <v>22012900</v>
      </c>
      <c r="D52" s="150">
        <v>20</v>
      </c>
      <c r="E52" s="150">
        <v>12</v>
      </c>
      <c r="F52" s="156">
        <v>25.92</v>
      </c>
      <c r="G52" s="162">
        <f t="shared" si="12"/>
        <v>13.920000000000002</v>
      </c>
      <c r="H52" s="164">
        <f t="shared" si="13"/>
        <v>216</v>
      </c>
      <c r="I52" s="165">
        <f t="shared" si="14"/>
        <v>5.920000000000002</v>
      </c>
      <c r="J52" s="165">
        <f t="shared" si="15"/>
        <v>129.6</v>
      </c>
      <c r="K52" s="165">
        <v>8.54</v>
      </c>
      <c r="L52" s="165">
        <f t="shared" si="16"/>
        <v>17.380000000000003</v>
      </c>
      <c r="M52" s="218">
        <f t="shared" si="17"/>
        <v>3.0351288056206096</v>
      </c>
      <c r="N52" s="164">
        <f>E52-червень!E52</f>
        <v>1</v>
      </c>
      <c r="O52" s="168">
        <f>F52-червень!F52</f>
        <v>7.200000000000003</v>
      </c>
      <c r="P52" s="167">
        <f t="shared" si="18"/>
        <v>6.200000000000003</v>
      </c>
      <c r="Q52" s="165">
        <f t="shared" si="19"/>
        <v>720.0000000000002</v>
      </c>
      <c r="R52" s="37">
        <v>4</v>
      </c>
      <c r="S52" s="37">
        <f>#N/A</f>
        <v>3.200000000000003</v>
      </c>
    </row>
    <row r="53" spans="1:19" s="6" customFormat="1" ht="30.75">
      <c r="A53" s="8"/>
      <c r="B53" s="130" t="s">
        <v>14</v>
      </c>
      <c r="C53" s="49">
        <v>22080400</v>
      </c>
      <c r="D53" s="150">
        <v>7275</v>
      </c>
      <c r="E53" s="150">
        <v>4250</v>
      </c>
      <c r="F53" s="156">
        <v>3786.14</v>
      </c>
      <c r="G53" s="162">
        <f t="shared" si="12"/>
        <v>-463.8600000000001</v>
      </c>
      <c r="H53" s="164">
        <f t="shared" si="13"/>
        <v>89.08564705882353</v>
      </c>
      <c r="I53" s="165">
        <f t="shared" si="14"/>
        <v>-3488.86</v>
      </c>
      <c r="J53" s="165">
        <f t="shared" si="15"/>
        <v>52.04316151202749</v>
      </c>
      <c r="K53" s="165">
        <v>4498</v>
      </c>
      <c r="L53" s="165">
        <f t="shared" si="16"/>
        <v>-711.8600000000001</v>
      </c>
      <c r="M53" s="218">
        <f t="shared" si="17"/>
        <v>0.8417385504668742</v>
      </c>
      <c r="N53" s="164">
        <f>E53-червень!E53</f>
        <v>605</v>
      </c>
      <c r="O53" s="168">
        <f>F53-червень!F53</f>
        <v>518.79</v>
      </c>
      <c r="P53" s="167">
        <f t="shared" si="18"/>
        <v>-86.21000000000004</v>
      </c>
      <c r="Q53" s="165">
        <f t="shared" si="19"/>
        <v>85.75041322314048</v>
      </c>
      <c r="R53" s="37">
        <v>550</v>
      </c>
      <c r="S53" s="37">
        <f>#N/A</f>
        <v>-31.210000000000036</v>
      </c>
    </row>
    <row r="54" spans="1:19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690</v>
      </c>
      <c r="F54" s="156">
        <v>479.15</v>
      </c>
      <c r="G54" s="162">
        <f t="shared" si="12"/>
        <v>-210.85000000000002</v>
      </c>
      <c r="H54" s="164">
        <f t="shared" si="13"/>
        <v>69.44202898550725</v>
      </c>
      <c r="I54" s="165">
        <f t="shared" si="14"/>
        <v>-720.85</v>
      </c>
      <c r="J54" s="165">
        <f t="shared" si="15"/>
        <v>39.92916666666667</v>
      </c>
      <c r="K54" s="165">
        <v>3724.79</v>
      </c>
      <c r="L54" s="165">
        <f t="shared" si="16"/>
        <v>-3245.64</v>
      </c>
      <c r="M54" s="218">
        <f t="shared" si="17"/>
        <v>0.12863812456541174</v>
      </c>
      <c r="N54" s="164">
        <f>E54-червень!E54</f>
        <v>120</v>
      </c>
      <c r="O54" s="168">
        <f>F54-червень!F54</f>
        <v>90.72999999999996</v>
      </c>
      <c r="P54" s="167">
        <f t="shared" si="18"/>
        <v>-29.27000000000004</v>
      </c>
      <c r="Q54" s="165">
        <f t="shared" si="19"/>
        <v>75.6083333333333</v>
      </c>
      <c r="R54" s="37">
        <v>50</v>
      </c>
      <c r="S54" s="37">
        <f>#N/A</f>
        <v>40.879999999999995</v>
      </c>
    </row>
    <row r="55" spans="1:19" s="6" customFormat="1" ht="18">
      <c r="A55" s="8"/>
      <c r="B55" s="50" t="s">
        <v>97</v>
      </c>
      <c r="C55" s="123">
        <v>22090100</v>
      </c>
      <c r="D55" s="103">
        <v>998</v>
      </c>
      <c r="E55" s="103">
        <v>580</v>
      </c>
      <c r="F55" s="140">
        <v>409.14</v>
      </c>
      <c r="G55" s="162">
        <f t="shared" si="12"/>
        <v>-170.86</v>
      </c>
      <c r="H55" s="164">
        <f t="shared" si="13"/>
        <v>70.54137931034482</v>
      </c>
      <c r="I55" s="165">
        <f t="shared" si="14"/>
        <v>-588.86</v>
      </c>
      <c r="J55" s="165">
        <f t="shared" si="15"/>
        <v>40.99599198396793</v>
      </c>
      <c r="K55" s="104">
        <v>504.14</v>
      </c>
      <c r="L55" s="165">
        <f t="shared" si="16"/>
        <v>-95</v>
      </c>
      <c r="M55" s="218">
        <f t="shared" si="17"/>
        <v>0.8115602808743603</v>
      </c>
      <c r="N55" s="105">
        <f>E55-червень!E55</f>
        <v>100</v>
      </c>
      <c r="O55" s="144">
        <f>F55-червень!F55</f>
        <v>76.61000000000001</v>
      </c>
      <c r="P55" s="167">
        <f t="shared" si="18"/>
        <v>-23.389999999999986</v>
      </c>
      <c r="Q55" s="165">
        <f t="shared" si="19"/>
        <v>76.61000000000001</v>
      </c>
      <c r="R55" s="37"/>
      <c r="S55" s="37">
        <f>#N/A</f>
        <v>75.43</v>
      </c>
    </row>
    <row r="56" spans="1:19" s="6" customFormat="1" ht="18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0.15</v>
      </c>
      <c r="G56" s="162">
        <f t="shared" si="12"/>
        <v>0.15</v>
      </c>
      <c r="H56" s="164" t="e">
        <f t="shared" si="13"/>
        <v>#DIV/0!</v>
      </c>
      <c r="I56" s="165">
        <f t="shared" si="14"/>
        <v>-0.85</v>
      </c>
      <c r="J56" s="165">
        <f t="shared" si="15"/>
        <v>15</v>
      </c>
      <c r="K56" s="104">
        <v>0.26</v>
      </c>
      <c r="L56" s="165">
        <f t="shared" si="16"/>
        <v>-0.11000000000000001</v>
      </c>
      <c r="M56" s="218">
        <f t="shared" si="17"/>
        <v>0.5769230769230769</v>
      </c>
      <c r="N56" s="105">
        <f>E56-червень!E56</f>
        <v>0</v>
      </c>
      <c r="O56" s="144">
        <f>F56-червень!F56</f>
        <v>0</v>
      </c>
      <c r="P56" s="167">
        <f t="shared" si="18"/>
        <v>0</v>
      </c>
      <c r="Q56" s="165"/>
      <c r="R56" s="37"/>
      <c r="S56" s="37">
        <f>#N/A</f>
        <v>0</v>
      </c>
    </row>
    <row r="57" spans="1:19" s="6" customFormat="1" ht="18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162">
        <f t="shared" si="12"/>
        <v>0</v>
      </c>
      <c r="H57" s="164" t="e">
        <f t="shared" si="13"/>
        <v>#DIV/0!</v>
      </c>
      <c r="I57" s="165">
        <f t="shared" si="14"/>
        <v>-1</v>
      </c>
      <c r="J57" s="165">
        <f t="shared" si="15"/>
        <v>0</v>
      </c>
      <c r="K57" s="104">
        <v>0.02</v>
      </c>
      <c r="L57" s="165">
        <f t="shared" si="16"/>
        <v>-0.02</v>
      </c>
      <c r="M57" s="218">
        <f t="shared" si="17"/>
        <v>0</v>
      </c>
      <c r="N57" s="105">
        <f>E57-червень!E57</f>
        <v>0</v>
      </c>
      <c r="O57" s="144">
        <f>F57-червень!F57</f>
        <v>0</v>
      </c>
      <c r="P57" s="167">
        <f t="shared" si="18"/>
        <v>0</v>
      </c>
      <c r="Q57" s="165"/>
      <c r="R57" s="37"/>
      <c r="S57" s="37">
        <f>#N/A</f>
        <v>0</v>
      </c>
    </row>
    <row r="58" spans="1:19" s="6" customFormat="1" ht="18">
      <c r="A58" s="8"/>
      <c r="B58" s="50" t="s">
        <v>96</v>
      </c>
      <c r="C58" s="123">
        <v>22090400</v>
      </c>
      <c r="D58" s="103">
        <v>200</v>
      </c>
      <c r="E58" s="103">
        <v>110</v>
      </c>
      <c r="F58" s="140">
        <v>69.85</v>
      </c>
      <c r="G58" s="162">
        <f t="shared" si="12"/>
        <v>-40.150000000000006</v>
      </c>
      <c r="H58" s="164">
        <f t="shared" si="13"/>
        <v>63.49999999999999</v>
      </c>
      <c r="I58" s="165">
        <f t="shared" si="14"/>
        <v>-130.15</v>
      </c>
      <c r="J58" s="165">
        <f t="shared" si="15"/>
        <v>34.925</v>
      </c>
      <c r="K58" s="104">
        <v>3220.38</v>
      </c>
      <c r="L58" s="165">
        <f t="shared" si="16"/>
        <v>-3150.53</v>
      </c>
      <c r="M58" s="218">
        <f t="shared" si="17"/>
        <v>0.021689986895956376</v>
      </c>
      <c r="N58" s="105">
        <f>E58-червень!E58</f>
        <v>20</v>
      </c>
      <c r="O58" s="144">
        <f>F58-червень!F58</f>
        <v>14.109999999999992</v>
      </c>
      <c r="P58" s="167">
        <f t="shared" si="18"/>
        <v>-5.890000000000008</v>
      </c>
      <c r="Q58" s="165">
        <f t="shared" si="19"/>
        <v>70.54999999999995</v>
      </c>
      <c r="R58" s="37"/>
      <c r="S58" s="37">
        <f>#N/A</f>
        <v>13.399999999999999</v>
      </c>
    </row>
    <row r="59" spans="1:19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62">
        <f t="shared" si="12"/>
        <v>-0.45999999999999996</v>
      </c>
      <c r="H59" s="164">
        <f t="shared" si="13"/>
        <v>81.60000000000001</v>
      </c>
      <c r="I59" s="165">
        <f t="shared" si="14"/>
        <v>-0.45999999999999996</v>
      </c>
      <c r="J59" s="165">
        <f t="shared" si="15"/>
        <v>81.60000000000001</v>
      </c>
      <c r="K59" s="165">
        <v>2.46</v>
      </c>
      <c r="L59" s="165">
        <f t="shared" si="16"/>
        <v>-0.41999999999999993</v>
      </c>
      <c r="M59" s="218">
        <f t="shared" si="17"/>
        <v>0.8292682926829269</v>
      </c>
      <c r="N59" s="164">
        <f>E59-червень!E59</f>
        <v>0</v>
      </c>
      <c r="O59" s="168">
        <f>F59-червень!F59</f>
        <v>0</v>
      </c>
      <c r="P59" s="167">
        <f t="shared" si="18"/>
        <v>0</v>
      </c>
      <c r="Q59" s="165"/>
      <c r="R59" s="37">
        <v>0</v>
      </c>
      <c r="S59" s="37">
        <f>#N/A</f>
        <v>0</v>
      </c>
    </row>
    <row r="60" spans="1:19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v>5460</v>
      </c>
      <c r="F60" s="156">
        <v>5438.2</v>
      </c>
      <c r="G60" s="162">
        <f t="shared" si="12"/>
        <v>-21.800000000000182</v>
      </c>
      <c r="H60" s="164">
        <f t="shared" si="13"/>
        <v>99.6007326007326</v>
      </c>
      <c r="I60" s="165">
        <f t="shared" si="14"/>
        <v>-1911.8000000000002</v>
      </c>
      <c r="J60" s="165">
        <f t="shared" si="15"/>
        <v>73.9891156462585</v>
      </c>
      <c r="K60" s="165">
        <v>4261.9</v>
      </c>
      <c r="L60" s="165">
        <f t="shared" si="16"/>
        <v>1176.3000000000002</v>
      </c>
      <c r="M60" s="218">
        <f t="shared" si="17"/>
        <v>1.2760036603392853</v>
      </c>
      <c r="N60" s="164">
        <f>E60-червень!E60</f>
        <v>600</v>
      </c>
      <c r="O60" s="168">
        <f>F60-червень!F60</f>
        <v>603.4200000000001</v>
      </c>
      <c r="P60" s="167">
        <f t="shared" si="18"/>
        <v>3.4200000000000728</v>
      </c>
      <c r="Q60" s="165">
        <f t="shared" si="19"/>
        <v>100.57000000000001</v>
      </c>
      <c r="R60" s="37">
        <v>500</v>
      </c>
      <c r="S60" s="37">
        <f>#N/A</f>
        <v>103.42000000000007</v>
      </c>
    </row>
    <row r="61" spans="1:19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62">
        <f t="shared" si="12"/>
        <v>0</v>
      </c>
      <c r="H61" s="164" t="e">
        <f t="shared" si="13"/>
        <v>#DIV/0!</v>
      </c>
      <c r="I61" s="165">
        <f t="shared" si="14"/>
        <v>0</v>
      </c>
      <c r="J61" s="165" t="e">
        <f t="shared" si="15"/>
        <v>#DIV/0!</v>
      </c>
      <c r="K61" s="165"/>
      <c r="L61" s="165">
        <f t="shared" si="16"/>
        <v>0</v>
      </c>
      <c r="M61" s="218" t="e">
        <f t="shared" si="17"/>
        <v>#DIV/0!</v>
      </c>
      <c r="N61" s="164">
        <f>E61-травень!E61</f>
        <v>0</v>
      </c>
      <c r="O61" s="168">
        <f>F61-квітень!F61</f>
        <v>0</v>
      </c>
      <c r="P61" s="167">
        <f t="shared" si="18"/>
        <v>0</v>
      </c>
      <c r="Q61" s="165" t="e">
        <f t="shared" si="19"/>
        <v>#DIV/0!</v>
      </c>
      <c r="R61" s="37"/>
      <c r="S61" s="37">
        <f>#N/A</f>
        <v>0</v>
      </c>
    </row>
    <row r="62" spans="1:19" s="6" customFormat="1" ht="30.75">
      <c r="A62" s="8"/>
      <c r="B62" s="50" t="s">
        <v>42</v>
      </c>
      <c r="C62" s="61"/>
      <c r="D62" s="103"/>
      <c r="E62" s="103"/>
      <c r="F62" s="201">
        <v>1235.08</v>
      </c>
      <c r="G62" s="162">
        <f t="shared" si="12"/>
        <v>1235.08</v>
      </c>
      <c r="H62" s="164" t="e">
        <f t="shared" si="13"/>
        <v>#DIV/0!</v>
      </c>
      <c r="I62" s="165">
        <f t="shared" si="14"/>
        <v>1235.08</v>
      </c>
      <c r="J62" s="165" t="e">
        <f t="shared" si="15"/>
        <v>#DIV/0!</v>
      </c>
      <c r="K62" s="166">
        <v>731.46</v>
      </c>
      <c r="L62" s="165">
        <f t="shared" si="16"/>
        <v>503.6199999999999</v>
      </c>
      <c r="M62" s="218">
        <f t="shared" si="17"/>
        <v>1.6885133841905229</v>
      </c>
      <c r="N62" s="195"/>
      <c r="O62" s="179">
        <f>F62-червень!F62</f>
        <v>164.8699999999999</v>
      </c>
      <c r="P62" s="167">
        <f t="shared" si="18"/>
        <v>164.8699999999999</v>
      </c>
      <c r="Q62" s="165"/>
      <c r="R62" s="37"/>
      <c r="S62" s="37">
        <f>#N/A</f>
        <v>160.28999999999996</v>
      </c>
    </row>
    <row r="63" spans="1:19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62">
        <f t="shared" si="12"/>
        <v>0</v>
      </c>
      <c r="H63" s="164" t="e">
        <f t="shared" si="13"/>
        <v>#DIV/0!</v>
      </c>
      <c r="I63" s="165">
        <f t="shared" si="14"/>
        <v>0</v>
      </c>
      <c r="J63" s="165" t="e">
        <f t="shared" si="15"/>
        <v>#DIV/0!</v>
      </c>
      <c r="K63" s="166"/>
      <c r="L63" s="165">
        <f t="shared" si="16"/>
        <v>0</v>
      </c>
      <c r="M63" s="218" t="e">
        <f t="shared" si="17"/>
        <v>#DIV/0!</v>
      </c>
      <c r="N63" s="164">
        <f>E63-лютий!E60</f>
        <v>0</v>
      </c>
      <c r="O63" s="168">
        <f>F63-лютий!F60</f>
        <v>0</v>
      </c>
      <c r="P63" s="167">
        <f t="shared" si="18"/>
        <v>0</v>
      </c>
      <c r="Q63" s="165" t="e">
        <f t="shared" si="19"/>
        <v>#DIV/0!</v>
      </c>
      <c r="R63" s="37"/>
      <c r="S63" s="37">
        <f>#N/A</f>
        <v>0</v>
      </c>
    </row>
    <row r="64" spans="1:19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50</v>
      </c>
      <c r="F64" s="156">
        <v>60.14</v>
      </c>
      <c r="G64" s="162">
        <f t="shared" si="12"/>
        <v>10.14</v>
      </c>
      <c r="H64" s="164">
        <f t="shared" si="13"/>
        <v>120.28000000000002</v>
      </c>
      <c r="I64" s="165">
        <f t="shared" si="14"/>
        <v>-99.86</v>
      </c>
      <c r="J64" s="165">
        <f t="shared" si="15"/>
        <v>37.5875</v>
      </c>
      <c r="K64" s="165">
        <v>78.18</v>
      </c>
      <c r="L64" s="165">
        <f t="shared" si="16"/>
        <v>-18.040000000000006</v>
      </c>
      <c r="M64" s="218">
        <f t="shared" si="17"/>
        <v>0.7692504476848299</v>
      </c>
      <c r="N64" s="164">
        <f>E64-червень!E64</f>
        <v>30</v>
      </c>
      <c r="O64" s="168">
        <f>F64-червень!F64</f>
        <v>5.5</v>
      </c>
      <c r="P64" s="167">
        <f t="shared" si="18"/>
        <v>-24.5</v>
      </c>
      <c r="Q64" s="165">
        <f t="shared" si="19"/>
        <v>18.333333333333332</v>
      </c>
      <c r="R64" s="37">
        <v>0</v>
      </c>
      <c r="S64" s="37">
        <f>#N/A</f>
        <v>5.5</v>
      </c>
    </row>
    <row r="65" spans="1:19" s="6" customFormat="1" ht="18">
      <c r="A65" s="8"/>
      <c r="B65" s="12" t="s">
        <v>44</v>
      </c>
      <c r="C65" s="43">
        <v>31010200</v>
      </c>
      <c r="D65" s="150">
        <v>15</v>
      </c>
      <c r="E65" s="150">
        <v>8.8</v>
      </c>
      <c r="F65" s="156">
        <v>28.54</v>
      </c>
      <c r="G65" s="162">
        <f t="shared" si="12"/>
        <v>19.74</v>
      </c>
      <c r="H65" s="164">
        <f t="shared" si="13"/>
        <v>324.31818181818176</v>
      </c>
      <c r="I65" s="165">
        <f t="shared" si="14"/>
        <v>13.54</v>
      </c>
      <c r="J65" s="165">
        <f t="shared" si="15"/>
        <v>190.26666666666665</v>
      </c>
      <c r="K65" s="165">
        <v>13.52</v>
      </c>
      <c r="L65" s="165">
        <f t="shared" si="16"/>
        <v>15.02</v>
      </c>
      <c r="M65" s="218">
        <f t="shared" si="17"/>
        <v>2.11094674556213</v>
      </c>
      <c r="N65" s="164">
        <f>E65-червень!E65</f>
        <v>1.200000000000001</v>
      </c>
      <c r="O65" s="168">
        <f>F65-червень!F65</f>
        <v>3.16</v>
      </c>
      <c r="P65" s="167">
        <f t="shared" si="18"/>
        <v>1.959999999999999</v>
      </c>
      <c r="Q65" s="165">
        <f t="shared" si="19"/>
        <v>263.3333333333331</v>
      </c>
      <c r="R65" s="37">
        <v>3.2</v>
      </c>
      <c r="S65" s="37">
        <f>#N/A</f>
        <v>-0.040000000000000036</v>
      </c>
    </row>
    <row r="66" spans="1:19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-5.25</v>
      </c>
      <c r="G66" s="162">
        <f t="shared" si="12"/>
        <v>-5.25</v>
      </c>
      <c r="H66" s="164" t="e">
        <f t="shared" si="13"/>
        <v>#DIV/0!</v>
      </c>
      <c r="I66" s="165">
        <f t="shared" si="14"/>
        <v>-5.25</v>
      </c>
      <c r="J66" s="165" t="e">
        <f t="shared" si="15"/>
        <v>#DIV/0!</v>
      </c>
      <c r="K66" s="165">
        <v>1.02</v>
      </c>
      <c r="L66" s="165">
        <f t="shared" si="16"/>
        <v>-6.27</v>
      </c>
      <c r="M66" s="218">
        <f t="shared" si="17"/>
        <v>-5.147058823529411</v>
      </c>
      <c r="N66" s="164">
        <f>E66-червень!E66</f>
        <v>0</v>
      </c>
      <c r="O66" s="168">
        <f>F66-червень!F66</f>
        <v>0</v>
      </c>
      <c r="P66" s="167">
        <f t="shared" si="18"/>
        <v>0</v>
      </c>
      <c r="Q66" s="165" t="e">
        <f t="shared" si="19"/>
        <v>#DIV/0!</v>
      </c>
      <c r="R66" s="37">
        <v>0</v>
      </c>
      <c r="S66" s="37">
        <f>#N/A</f>
        <v>0</v>
      </c>
    </row>
    <row r="67" spans="1:19" s="6" customFormat="1" ht="18">
      <c r="A67" s="9"/>
      <c r="B67" s="14" t="s">
        <v>184</v>
      </c>
      <c r="C67" s="62"/>
      <c r="D67" s="151">
        <f>D8+D41+D65+D66</f>
        <v>1357491.1</v>
      </c>
      <c r="E67" s="151">
        <f>E8+E41+E65+E66</f>
        <v>762542.7</v>
      </c>
      <c r="F67" s="151">
        <f>F8+F41+F65+F66</f>
        <v>766059.7300000001</v>
      </c>
      <c r="G67" s="151">
        <f>F67-E67</f>
        <v>3517.0300000001444</v>
      </c>
      <c r="H67" s="152">
        <f>F67/E67*100</f>
        <v>100.46122400752118</v>
      </c>
      <c r="I67" s="153">
        <f>F67-D67</f>
        <v>-591431.37</v>
      </c>
      <c r="J67" s="153">
        <f>F67/D67*100</f>
        <v>56.43202596319048</v>
      </c>
      <c r="K67" s="153">
        <v>580607.78</v>
      </c>
      <c r="L67" s="153">
        <f>F67-K67</f>
        <v>185451.95000000007</v>
      </c>
      <c r="M67" s="219">
        <f>F67/K67</f>
        <v>1.3194100327074503</v>
      </c>
      <c r="N67" s="151">
        <f>N8+N41+N65+N66</f>
        <v>123743.40000000004</v>
      </c>
      <c r="O67" s="151">
        <f>O8+O41+O65+O66</f>
        <v>122511.01999999996</v>
      </c>
      <c r="P67" s="155">
        <f>O67-N67</f>
        <v>-1232.3800000000774</v>
      </c>
      <c r="Q67" s="153">
        <f>O67/N67*100</f>
        <v>99.00408425823109</v>
      </c>
      <c r="R67" s="27">
        <f>R8+R41+R65+R66</f>
        <v>108115.7</v>
      </c>
      <c r="S67" s="280">
        <f>O67-R67</f>
        <v>14395.319999999963</v>
      </c>
    </row>
    <row r="68" spans="1:19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47"/>
      <c r="O68" s="46"/>
      <c r="P68" s="79"/>
      <c r="Q68" s="35"/>
      <c r="R68" s="35"/>
      <c r="S68" s="35"/>
    </row>
    <row r="69" spans="1:19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0"/>
      <c r="O69" s="46"/>
      <c r="P69" s="59"/>
      <c r="Q69" s="35"/>
      <c r="R69" s="35"/>
      <c r="S69" s="35"/>
    </row>
    <row r="70" spans="1:19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0"/>
      <c r="O70" s="57"/>
      <c r="P70" s="79"/>
      <c r="Q70" s="35"/>
      <c r="R70" s="35"/>
      <c r="S70" s="35"/>
    </row>
    <row r="71" spans="2:19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1"/>
      <c r="O71" s="146"/>
      <c r="P71" s="36"/>
      <c r="Q71" s="38"/>
      <c r="R71" s="38"/>
      <c r="S71" s="38"/>
    </row>
    <row r="72" spans="2:19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>
        <v>0.01</v>
      </c>
      <c r="L72" s="167">
        <f>F72-K72</f>
        <v>0</v>
      </c>
      <c r="M72" s="209">
        <f>F72/K72</f>
        <v>1</v>
      </c>
      <c r="N72" s="162">
        <f>E72-квітень!E72</f>
        <v>0</v>
      </c>
      <c r="O72" s="182">
        <f>F72-квітень!F72</f>
        <v>0</v>
      </c>
      <c r="P72" s="167"/>
      <c r="Q72" s="167"/>
      <c r="R72" s="38"/>
      <c r="S72" s="38"/>
    </row>
    <row r="73" spans="2:19" ht="31.5">
      <c r="B73" s="23" t="s">
        <v>62</v>
      </c>
      <c r="C73" s="73">
        <v>18041500</v>
      </c>
      <c r="D73" s="180">
        <v>0</v>
      </c>
      <c r="E73" s="180"/>
      <c r="F73" s="181">
        <v>-2.64</v>
      </c>
      <c r="G73" s="162">
        <f>F73-E73</f>
        <v>-2.64</v>
      </c>
      <c r="H73" s="164"/>
      <c r="I73" s="167">
        <f>F73-D73</f>
        <v>-2.64</v>
      </c>
      <c r="J73" s="167"/>
      <c r="K73" s="167">
        <v>-2.3</v>
      </c>
      <c r="L73" s="167">
        <f>F73-K73</f>
        <v>-0.3400000000000003</v>
      </c>
      <c r="M73" s="209">
        <f>F73/K73</f>
        <v>1.1478260869565218</v>
      </c>
      <c r="N73" s="162">
        <f>E73-червень!E73</f>
        <v>0</v>
      </c>
      <c r="O73" s="182">
        <f>F73-червень!F73</f>
        <v>0</v>
      </c>
      <c r="P73" s="167">
        <f>O73-N73</f>
        <v>0</v>
      </c>
      <c r="Q73" s="167"/>
      <c r="R73" s="38"/>
      <c r="S73" s="38"/>
    </row>
    <row r="74" spans="2:19" ht="18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-2.6300000000000003</v>
      </c>
      <c r="G74" s="185">
        <f>F74-E74</f>
        <v>-2.6300000000000003</v>
      </c>
      <c r="H74" s="186"/>
      <c r="I74" s="187">
        <f>F74-D74</f>
        <v>-2.6300000000000003</v>
      </c>
      <c r="J74" s="187"/>
      <c r="K74" s="187">
        <v>-2.29</v>
      </c>
      <c r="L74" s="187">
        <f>F74-K74</f>
        <v>-0.3400000000000003</v>
      </c>
      <c r="M74" s="214">
        <f>F74/K74</f>
        <v>1.1484716157205241</v>
      </c>
      <c r="N74" s="185">
        <f>SUM(N72:N73)</f>
        <v>0</v>
      </c>
      <c r="O74" s="188">
        <f>SUM(O72:O73)</f>
        <v>0</v>
      </c>
      <c r="P74" s="167">
        <f aca="true" t="shared" si="20" ref="P74:P86">O74-N74</f>
        <v>0</v>
      </c>
      <c r="Q74" s="167"/>
      <c r="R74" s="39"/>
      <c r="S74" s="39"/>
    </row>
    <row r="75" spans="2:19" ht="45.7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>F75-E75</f>
        <v>35.57</v>
      </c>
      <c r="H75" s="186"/>
      <c r="I75" s="187">
        <f>F75-D75</f>
        <v>35.57</v>
      </c>
      <c r="J75" s="187"/>
      <c r="K75" s="187">
        <v>0</v>
      </c>
      <c r="L75" s="187">
        <f>F75-K75</f>
        <v>35.57</v>
      </c>
      <c r="M75" s="187"/>
      <c r="N75" s="186">
        <f>E75-червень!E75</f>
        <v>0</v>
      </c>
      <c r="O75" s="289">
        <f>F75-червень!F75</f>
        <v>0</v>
      </c>
      <c r="P75" s="167">
        <f t="shared" si="20"/>
        <v>0</v>
      </c>
      <c r="Q75" s="167"/>
      <c r="R75" s="38"/>
      <c r="S75" s="38"/>
    </row>
    <row r="76" spans="2:19" ht="31.5">
      <c r="B76" s="23" t="s">
        <v>29</v>
      </c>
      <c r="C76" s="73">
        <v>31030000</v>
      </c>
      <c r="D76" s="180">
        <f>4000+100206.03</f>
        <v>104206.03</v>
      </c>
      <c r="E76" s="180">
        <v>13500</v>
      </c>
      <c r="F76" s="181">
        <v>3.77</v>
      </c>
      <c r="G76" s="162">
        <f>F76-E76</f>
        <v>-13496.23</v>
      </c>
      <c r="H76" s="164">
        <f>F76/E76*100</f>
        <v>0.027925925925925927</v>
      </c>
      <c r="I76" s="167">
        <f>F76-D76</f>
        <v>-104202.26</v>
      </c>
      <c r="J76" s="167">
        <f>F76/D76*100</f>
        <v>0.0036178328643745477</v>
      </c>
      <c r="K76" s="167">
        <v>1535.06</v>
      </c>
      <c r="L76" s="167">
        <f>F76-K76</f>
        <v>-1531.29</v>
      </c>
      <c r="M76" s="209">
        <f aca="true" t="shared" si="21" ref="M76:M86">F76/K76</f>
        <v>0.0024559300613656797</v>
      </c>
      <c r="N76" s="164">
        <f>E76-червень!E76</f>
        <v>4500</v>
      </c>
      <c r="O76" s="168">
        <f>F76-червень!F76</f>
        <v>0.04999999999999982</v>
      </c>
      <c r="P76" s="167">
        <f t="shared" si="20"/>
        <v>-4499.95</v>
      </c>
      <c r="Q76" s="167">
        <f aca="true" t="shared" si="22" ref="Q76:Q86">O76/N76*100</f>
        <v>0.001111111111111107</v>
      </c>
      <c r="R76" s="38">
        <v>0</v>
      </c>
      <c r="S76" s="38">
        <f>#N/A</f>
        <v>0.04999999999999982</v>
      </c>
    </row>
    <row r="77" spans="2:19" ht="18">
      <c r="B77" s="23" t="s">
        <v>30</v>
      </c>
      <c r="C77" s="73">
        <v>33010000</v>
      </c>
      <c r="D77" s="180">
        <f>8000+46000</f>
        <v>54000</v>
      </c>
      <c r="E77" s="180">
        <v>19230</v>
      </c>
      <c r="F77" s="181">
        <v>5906.21</v>
      </c>
      <c r="G77" s="162">
        <f aca="true" t="shared" si="23" ref="G77:G86">F77-E77</f>
        <v>-13323.79</v>
      </c>
      <c r="H77" s="164">
        <f aca="true" t="shared" si="24" ref="H77:H87">F77/E77*100</f>
        <v>30.71352054082163</v>
      </c>
      <c r="I77" s="167">
        <f aca="true" t="shared" si="25" ref="I77:I87">F77-D77</f>
        <v>-48093.79</v>
      </c>
      <c r="J77" s="167">
        <f>F77/D77*100</f>
        <v>10.937425925925925</v>
      </c>
      <c r="K77" s="167">
        <v>6751.5</v>
      </c>
      <c r="L77" s="167">
        <f aca="true" t="shared" si="26" ref="L77:L86">F77-K77</f>
        <v>-845.29</v>
      </c>
      <c r="M77" s="209">
        <f t="shared" si="21"/>
        <v>0.874799674146486</v>
      </c>
      <c r="N77" s="164">
        <f>E77-червень!E77</f>
        <v>3600</v>
      </c>
      <c r="O77" s="168">
        <f>F77-червень!F77</f>
        <v>4289.0599999999995</v>
      </c>
      <c r="P77" s="167">
        <f t="shared" si="20"/>
        <v>689.0599999999995</v>
      </c>
      <c r="Q77" s="167">
        <f t="shared" si="22"/>
        <v>119.14055555555554</v>
      </c>
      <c r="R77" s="38">
        <v>200</v>
      </c>
      <c r="S77" s="38">
        <f>#N/A</f>
        <v>4089.0599999999995</v>
      </c>
    </row>
    <row r="78" spans="2:19" ht="31.5">
      <c r="B78" s="23" t="s">
        <v>54</v>
      </c>
      <c r="C78" s="73">
        <v>24170000</v>
      </c>
      <c r="D78" s="180">
        <f>10000+69000</f>
        <v>79000</v>
      </c>
      <c r="E78" s="180">
        <v>20050</v>
      </c>
      <c r="F78" s="181">
        <v>6971.3</v>
      </c>
      <c r="G78" s="162">
        <f t="shared" si="23"/>
        <v>-13078.7</v>
      </c>
      <c r="H78" s="164">
        <f t="shared" si="24"/>
        <v>34.76957605985038</v>
      </c>
      <c r="I78" s="167">
        <f t="shared" si="25"/>
        <v>-72028.7</v>
      </c>
      <c r="J78" s="167">
        <f>F78/D78*100</f>
        <v>8.824430379746834</v>
      </c>
      <c r="K78" s="167">
        <v>9509.69</v>
      </c>
      <c r="L78" s="167">
        <f t="shared" si="26"/>
        <v>-2538.3900000000003</v>
      </c>
      <c r="M78" s="209">
        <f t="shared" si="21"/>
        <v>0.7330733178473746</v>
      </c>
      <c r="N78" s="164">
        <f>E78-червень!E78</f>
        <v>3850</v>
      </c>
      <c r="O78" s="168">
        <f>F78-червень!F78</f>
        <v>403.0799999999999</v>
      </c>
      <c r="P78" s="167">
        <f t="shared" si="20"/>
        <v>-3446.92</v>
      </c>
      <c r="Q78" s="167">
        <f t="shared" si="22"/>
        <v>10.469610389610388</v>
      </c>
      <c r="R78" s="38">
        <v>1500</v>
      </c>
      <c r="S78" s="38">
        <f>#N/A</f>
        <v>-1096.92</v>
      </c>
    </row>
    <row r="79" spans="2:19" ht="18">
      <c r="B79" s="23" t="s">
        <v>101</v>
      </c>
      <c r="C79" s="73">
        <v>24110700</v>
      </c>
      <c r="D79" s="180">
        <v>12</v>
      </c>
      <c r="E79" s="180">
        <v>7</v>
      </c>
      <c r="F79" s="181">
        <v>8</v>
      </c>
      <c r="G79" s="162">
        <f t="shared" si="23"/>
        <v>1</v>
      </c>
      <c r="H79" s="164">
        <f t="shared" si="24"/>
        <v>114.28571428571428</v>
      </c>
      <c r="I79" s="167">
        <f t="shared" si="25"/>
        <v>-4</v>
      </c>
      <c r="J79" s="167">
        <f>F79/D79*100</f>
        <v>66.66666666666666</v>
      </c>
      <c r="K79" s="167">
        <v>6</v>
      </c>
      <c r="L79" s="167">
        <f t="shared" si="26"/>
        <v>2</v>
      </c>
      <c r="M79" s="209">
        <f t="shared" si="21"/>
        <v>1.3333333333333333</v>
      </c>
      <c r="N79" s="164">
        <f>E79-червень!E79</f>
        <v>1</v>
      </c>
      <c r="O79" s="168">
        <f>F79-червень!F79</f>
        <v>1</v>
      </c>
      <c r="P79" s="167">
        <f t="shared" si="20"/>
        <v>0</v>
      </c>
      <c r="Q79" s="167">
        <f t="shared" si="22"/>
        <v>100</v>
      </c>
      <c r="R79" s="38">
        <v>1</v>
      </c>
      <c r="S79" s="38">
        <f>#N/A</f>
        <v>0</v>
      </c>
    </row>
    <row r="80" spans="2:19" ht="33">
      <c r="B80" s="28" t="s">
        <v>51</v>
      </c>
      <c r="C80" s="65"/>
      <c r="D80" s="183">
        <f>D76+D77+D78+D79</f>
        <v>237218.03</v>
      </c>
      <c r="E80" s="183">
        <f>E76+E77+E78+E79</f>
        <v>52787</v>
      </c>
      <c r="F80" s="184">
        <f>F76+F77+F78+F79</f>
        <v>12889.28</v>
      </c>
      <c r="G80" s="162">
        <f t="shared" si="23"/>
        <v>-39897.72</v>
      </c>
      <c r="H80" s="164">
        <f t="shared" si="24"/>
        <v>24.417527042643076</v>
      </c>
      <c r="I80" s="167">
        <f t="shared" si="25"/>
        <v>-224328.75</v>
      </c>
      <c r="J80" s="187">
        <f>F80/D80*100</f>
        <v>5.433516162325436</v>
      </c>
      <c r="K80" s="187">
        <v>17802.25</v>
      </c>
      <c r="L80" s="167">
        <f t="shared" si="26"/>
        <v>-4912.969999999999</v>
      </c>
      <c r="M80" s="214">
        <f t="shared" si="21"/>
        <v>0.7240253338763359</v>
      </c>
      <c r="N80" s="185">
        <f>N76+N77+N78+N79</f>
        <v>11951</v>
      </c>
      <c r="O80" s="189">
        <f>O76+O77+O78+O79</f>
        <v>4693.19</v>
      </c>
      <c r="P80" s="167">
        <f t="shared" si="20"/>
        <v>-7257.81</v>
      </c>
      <c r="Q80" s="167">
        <f t="shared" si="22"/>
        <v>39.27027027027027</v>
      </c>
      <c r="R80" s="39">
        <f>SUM(R76:R79)</f>
        <v>1701</v>
      </c>
      <c r="S80" s="39">
        <f>#N/A</f>
        <v>2992.1899999999996</v>
      </c>
    </row>
    <row r="81" spans="2:19" ht="46.5">
      <c r="B81" s="12" t="s">
        <v>40</v>
      </c>
      <c r="C81" s="75">
        <v>24062100</v>
      </c>
      <c r="D81" s="180">
        <v>40</v>
      </c>
      <c r="E81" s="180">
        <v>4</v>
      </c>
      <c r="F81" s="181">
        <v>38.14</v>
      </c>
      <c r="G81" s="162">
        <f t="shared" si="23"/>
        <v>34.14</v>
      </c>
      <c r="H81" s="164">
        <f t="shared" si="24"/>
        <v>953.5</v>
      </c>
      <c r="I81" s="167">
        <f t="shared" si="25"/>
        <v>-1.8599999999999994</v>
      </c>
      <c r="J81" s="167"/>
      <c r="K81" s="167">
        <v>5.21</v>
      </c>
      <c r="L81" s="167">
        <f t="shared" si="26"/>
        <v>32.93</v>
      </c>
      <c r="M81" s="209">
        <f t="shared" si="21"/>
        <v>7.320537428023033</v>
      </c>
      <c r="N81" s="164">
        <f>E81-червень!E81</f>
        <v>0</v>
      </c>
      <c r="O81" s="168">
        <f>F81-червень!F81</f>
        <v>2.8299999999999983</v>
      </c>
      <c r="P81" s="167">
        <f t="shared" si="20"/>
        <v>2.8299999999999983</v>
      </c>
      <c r="Q81" s="167"/>
      <c r="R81" s="38">
        <v>1</v>
      </c>
      <c r="S81" s="38">
        <f>#N/A</f>
        <v>1.8299999999999983</v>
      </c>
    </row>
    <row r="82" spans="2:19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 t="shared" si="23"/>
        <v>0</v>
      </c>
      <c r="H82" s="164" t="e">
        <f t="shared" si="24"/>
        <v>#DIV/0!</v>
      </c>
      <c r="I82" s="167">
        <f t="shared" si="25"/>
        <v>0</v>
      </c>
      <c r="J82" s="190"/>
      <c r="K82" s="167">
        <v>0</v>
      </c>
      <c r="L82" s="167">
        <f t="shared" si="26"/>
        <v>0</v>
      </c>
      <c r="M82" s="209" t="e">
        <f t="shared" si="21"/>
        <v>#DIV/0!</v>
      </c>
      <c r="N82" s="164">
        <f>E82-червень!E82</f>
        <v>0</v>
      </c>
      <c r="O82" s="168">
        <f>F82-червень!F82</f>
        <v>0</v>
      </c>
      <c r="P82" s="167">
        <f t="shared" si="20"/>
        <v>0</v>
      </c>
      <c r="Q82" s="167" t="e">
        <f t="shared" si="22"/>
        <v>#DIV/0!</v>
      </c>
      <c r="R82" s="41"/>
      <c r="S82" s="38">
        <f>#N/A</f>
        <v>0</v>
      </c>
    </row>
    <row r="83" spans="2:19" ht="18">
      <c r="B83" s="23" t="s">
        <v>46</v>
      </c>
      <c r="C83" s="73">
        <v>19010000</v>
      </c>
      <c r="D83" s="180">
        <v>8360</v>
      </c>
      <c r="E83" s="180">
        <v>4510.8</v>
      </c>
      <c r="F83" s="181">
        <v>5113.7</v>
      </c>
      <c r="G83" s="162">
        <f t="shared" si="23"/>
        <v>602.8999999999996</v>
      </c>
      <c r="H83" s="164">
        <f t="shared" si="24"/>
        <v>113.36570009754365</v>
      </c>
      <c r="I83" s="167">
        <f t="shared" si="25"/>
        <v>-3246.3</v>
      </c>
      <c r="J83" s="167">
        <f>F83/D83*100</f>
        <v>61.16866028708133</v>
      </c>
      <c r="K83" s="167">
        <v>4902.34</v>
      </c>
      <c r="L83" s="167">
        <f t="shared" si="26"/>
        <v>211.35999999999967</v>
      </c>
      <c r="M83" s="209">
        <f t="shared" si="21"/>
        <v>1.043114104692861</v>
      </c>
      <c r="N83" s="164">
        <f>E83-червень!E83</f>
        <v>3.800000000000182</v>
      </c>
      <c r="O83" s="168">
        <f>F83-червень!F83</f>
        <v>9.6899999999996</v>
      </c>
      <c r="P83" s="167">
        <f t="shared" si="20"/>
        <v>5.889999999999418</v>
      </c>
      <c r="Q83" s="167">
        <f t="shared" si="22"/>
        <v>254.99999999997723</v>
      </c>
      <c r="R83" s="41">
        <v>2850</v>
      </c>
      <c r="S83" s="288">
        <f>#N/A</f>
        <v>-2840.3100000000004</v>
      </c>
    </row>
    <row r="84" spans="2:19" ht="31.5">
      <c r="B84" s="23" t="s">
        <v>50</v>
      </c>
      <c r="C84" s="73">
        <v>19050000</v>
      </c>
      <c r="D84" s="180">
        <v>0</v>
      </c>
      <c r="E84" s="180"/>
      <c r="F84" s="181">
        <v>0.05</v>
      </c>
      <c r="G84" s="162">
        <f t="shared" si="23"/>
        <v>0.05</v>
      </c>
      <c r="H84" s="164" t="e">
        <f t="shared" si="24"/>
        <v>#DIV/0!</v>
      </c>
      <c r="I84" s="167">
        <f t="shared" si="25"/>
        <v>0.05</v>
      </c>
      <c r="J84" s="167"/>
      <c r="K84" s="167">
        <v>0.92</v>
      </c>
      <c r="L84" s="167">
        <f t="shared" si="26"/>
        <v>-0.87</v>
      </c>
      <c r="M84" s="209">
        <f t="shared" si="21"/>
        <v>0.05434782608695652</v>
      </c>
      <c r="N84" s="164">
        <f>E84-червень!E84</f>
        <v>0</v>
      </c>
      <c r="O84" s="168">
        <f>F84-червень!F84</f>
        <v>0</v>
      </c>
      <c r="P84" s="167">
        <f t="shared" si="20"/>
        <v>0</v>
      </c>
      <c r="Q84" s="167"/>
      <c r="R84" s="38">
        <v>0</v>
      </c>
      <c r="S84" s="38">
        <f>#N/A</f>
        <v>0</v>
      </c>
    </row>
    <row r="85" spans="2:19" ht="30.75">
      <c r="B85" s="28" t="s">
        <v>47</v>
      </c>
      <c r="C85" s="73"/>
      <c r="D85" s="183">
        <f>D81+D84+D82+D83</f>
        <v>8400</v>
      </c>
      <c r="E85" s="183">
        <f>E81+E84+E82+E83</f>
        <v>4514.8</v>
      </c>
      <c r="F85" s="184">
        <f>F81+F84+F82+F83</f>
        <v>5151.889999999999</v>
      </c>
      <c r="G85" s="162">
        <f t="shared" si="23"/>
        <v>637.0899999999992</v>
      </c>
      <c r="H85" s="164">
        <f t="shared" si="24"/>
        <v>114.11114556569504</v>
      </c>
      <c r="I85" s="167">
        <f t="shared" si="25"/>
        <v>-3248.1100000000006</v>
      </c>
      <c r="J85" s="187">
        <f>F85/D85*100</f>
        <v>61.332023809523804</v>
      </c>
      <c r="K85" s="187">
        <v>4908.48</v>
      </c>
      <c r="L85" s="167">
        <f t="shared" si="26"/>
        <v>243.40999999999985</v>
      </c>
      <c r="M85" s="209">
        <f t="shared" si="21"/>
        <v>1.0495896896799009</v>
      </c>
      <c r="N85" s="185">
        <f>N81+N84+N82+N83</f>
        <v>3.800000000000182</v>
      </c>
      <c r="O85" s="189">
        <f>O81+O84+O82+O83</f>
        <v>12.519999999999598</v>
      </c>
      <c r="P85" s="167">
        <f t="shared" si="20"/>
        <v>8.719999999999416</v>
      </c>
      <c r="Q85" s="167">
        <f t="shared" si="22"/>
        <v>329.4736842105</v>
      </c>
      <c r="R85" s="39">
        <f>SUM(R81:R84)</f>
        <v>2851</v>
      </c>
      <c r="S85" s="39">
        <f>#N/A</f>
        <v>-2838.4800000000005</v>
      </c>
    </row>
    <row r="86" spans="2:19" ht="30.75">
      <c r="B86" s="12" t="s">
        <v>41</v>
      </c>
      <c r="C86" s="43">
        <v>24110900</v>
      </c>
      <c r="D86" s="180">
        <v>38</v>
      </c>
      <c r="E86" s="180">
        <v>24.8</v>
      </c>
      <c r="F86" s="181">
        <v>12.43</v>
      </c>
      <c r="G86" s="162">
        <f t="shared" si="23"/>
        <v>-12.370000000000001</v>
      </c>
      <c r="H86" s="164">
        <f t="shared" si="24"/>
        <v>50.12096774193549</v>
      </c>
      <c r="I86" s="167">
        <f t="shared" si="25"/>
        <v>-25.57</v>
      </c>
      <c r="J86" s="167">
        <f>F86/D86*100</f>
        <v>32.71052631578947</v>
      </c>
      <c r="K86" s="167">
        <v>18.76</v>
      </c>
      <c r="L86" s="167">
        <f t="shared" si="26"/>
        <v>-6.330000000000002</v>
      </c>
      <c r="M86" s="209">
        <f t="shared" si="21"/>
        <v>0.6625799573560767</v>
      </c>
      <c r="N86" s="164">
        <f>E86-червень!E86</f>
        <v>1.5</v>
      </c>
      <c r="O86" s="168">
        <f>F86-червень!F86</f>
        <v>4.6899999999999995</v>
      </c>
      <c r="P86" s="167">
        <f t="shared" si="20"/>
        <v>3.1899999999999995</v>
      </c>
      <c r="Q86" s="167">
        <f t="shared" si="22"/>
        <v>312.66666666666663</v>
      </c>
      <c r="R86" s="38">
        <v>1.2</v>
      </c>
      <c r="S86" s="38">
        <f>#N/A</f>
        <v>3.4899999999999993</v>
      </c>
    </row>
    <row r="87" spans="2:19" ht="18" hidden="1">
      <c r="B87" s="122"/>
      <c r="C87" s="43">
        <v>21110000</v>
      </c>
      <c r="D87" s="180">
        <v>0</v>
      </c>
      <c r="E87" s="180">
        <v>0</v>
      </c>
      <c r="F87" s="181"/>
      <c r="G87" s="162">
        <f>#N/A</f>
        <v>0</v>
      </c>
      <c r="H87" s="164" t="e">
        <f t="shared" si="24"/>
        <v>#DIV/0!</v>
      </c>
      <c r="I87" s="167">
        <f t="shared" si="25"/>
        <v>0</v>
      </c>
      <c r="J87" s="167"/>
      <c r="K87" s="167">
        <v>0</v>
      </c>
      <c r="L87" s="167">
        <f>#N/A</f>
        <v>0</v>
      </c>
      <c r="M87" s="167"/>
      <c r="N87" s="164">
        <f>E87-квітень!E87</f>
        <v>0</v>
      </c>
      <c r="O87" s="168">
        <f>F87-квітень!F87</f>
        <v>0</v>
      </c>
      <c r="P87" s="167">
        <f>#N/A</f>
        <v>0</v>
      </c>
      <c r="Q87" s="167"/>
      <c r="R87" s="38">
        <v>0</v>
      </c>
      <c r="S87" s="38">
        <f>#N/A</f>
        <v>0</v>
      </c>
    </row>
    <row r="88" spans="2:19" ht="23.25" customHeight="1">
      <c r="B88" s="14" t="s">
        <v>31</v>
      </c>
      <c r="C88" s="66"/>
      <c r="D88" s="191">
        <f>D74+D75+D80+D85+D86</f>
        <v>245656.03</v>
      </c>
      <c r="E88" s="191">
        <f>E74+E75+E80+E85+E86</f>
        <v>57326.600000000006</v>
      </c>
      <c r="F88" s="191">
        <f>F74+F75+F80+F85+F86</f>
        <v>18086.54</v>
      </c>
      <c r="G88" s="192">
        <f>F88-E88</f>
        <v>-39240.060000000005</v>
      </c>
      <c r="H88" s="193">
        <f>F88/E88*100</f>
        <v>31.549995987900903</v>
      </c>
      <c r="I88" s="194">
        <f>F88-D88</f>
        <v>-227569.49</v>
      </c>
      <c r="J88" s="194">
        <f>F88/D88*100</f>
        <v>7.362546728447904</v>
      </c>
      <c r="K88" s="194">
        <v>22727.2</v>
      </c>
      <c r="L88" s="194">
        <f>F88-K88</f>
        <v>-4640.66</v>
      </c>
      <c r="M88" s="221">
        <f>#N/A</f>
        <v>0.7958103065929811</v>
      </c>
      <c r="N88" s="191">
        <f>N74+N75+N80+N85+N86</f>
        <v>11956.3</v>
      </c>
      <c r="O88" s="191">
        <f>O74+O75+O80+O85+O86</f>
        <v>4710.399999999999</v>
      </c>
      <c r="P88" s="194">
        <f>#N/A</f>
        <v>-7245.900000000001</v>
      </c>
      <c r="Q88" s="194">
        <f>O88/N88*100</f>
        <v>39.396803358898644</v>
      </c>
      <c r="R88" s="27">
        <f>R80+R85+R86+R87</f>
        <v>4553.2</v>
      </c>
      <c r="S88" s="27">
        <f>S80+S85+S86+S87</f>
        <v>157.19999999999914</v>
      </c>
    </row>
    <row r="89" spans="2:19" ht="17.25">
      <c r="B89" s="21" t="s">
        <v>182</v>
      </c>
      <c r="C89" s="66"/>
      <c r="D89" s="191">
        <f>D67+D88</f>
        <v>1603147.1300000001</v>
      </c>
      <c r="E89" s="191">
        <f>E67+E88</f>
        <v>819869.2999999999</v>
      </c>
      <c r="F89" s="191">
        <f>F67+F88</f>
        <v>784146.2700000001</v>
      </c>
      <c r="G89" s="192">
        <f>F89-E89</f>
        <v>-35723.029999999795</v>
      </c>
      <c r="H89" s="193">
        <f>F89/E89*100</f>
        <v>95.64283843778517</v>
      </c>
      <c r="I89" s="194">
        <f>F89-D89</f>
        <v>-819000.86</v>
      </c>
      <c r="J89" s="194">
        <f>F89/D89*100</f>
        <v>48.91293227715163</v>
      </c>
      <c r="K89" s="194">
        <f>K67+K88</f>
        <v>603334.98</v>
      </c>
      <c r="L89" s="194">
        <f>F89-K89</f>
        <v>180811.29000000015</v>
      </c>
      <c r="M89" s="221">
        <f>#N/A</f>
        <v>1.299686270469516</v>
      </c>
      <c r="N89" s="192">
        <f>N67+N88</f>
        <v>135699.70000000004</v>
      </c>
      <c r="O89" s="192">
        <f>O67+O88</f>
        <v>127221.41999999995</v>
      </c>
      <c r="P89" s="194">
        <f>#N/A</f>
        <v>-8478.360000000073</v>
      </c>
      <c r="Q89" s="194">
        <f>O89/N89*100</f>
        <v>93.75217483900106</v>
      </c>
      <c r="R89" s="27">
        <f>R67+R88</f>
        <v>112668.9</v>
      </c>
      <c r="S89" s="27">
        <f>S67+S88</f>
        <v>14552.519999999962</v>
      </c>
    </row>
    <row r="90" spans="2:15" ht="15">
      <c r="B90" s="20" t="s">
        <v>34</v>
      </c>
      <c r="O90" s="25"/>
    </row>
    <row r="91" spans="2:19" ht="15">
      <c r="B91" s="4" t="s">
        <v>36</v>
      </c>
      <c r="C91" s="76">
        <v>0</v>
      </c>
      <c r="D91" s="4" t="s">
        <v>35</v>
      </c>
      <c r="O91" s="78"/>
      <c r="S91" s="29"/>
    </row>
    <row r="92" spans="2:19" ht="30.75">
      <c r="B92" s="52" t="s">
        <v>53</v>
      </c>
      <c r="C92" s="29" t="e">
        <f>IF(P67&lt;0,ABS(P67/C91),0)</f>
        <v>#DIV/0!</v>
      </c>
      <c r="D92" s="4" t="s">
        <v>24</v>
      </c>
      <c r="G92" s="424"/>
      <c r="H92" s="424"/>
      <c r="I92" s="424"/>
      <c r="J92" s="424"/>
      <c r="K92" s="84"/>
      <c r="L92" s="84"/>
      <c r="M92" s="84"/>
      <c r="Q92" s="25"/>
      <c r="R92" s="25"/>
      <c r="S92" s="25"/>
    </row>
    <row r="93" spans="2:16" ht="34.5" customHeight="1">
      <c r="B93" s="53" t="s">
        <v>55</v>
      </c>
      <c r="C93" s="81">
        <v>42947</v>
      </c>
      <c r="D93" s="29">
        <v>6459.1</v>
      </c>
      <c r="G93" s="4" t="s">
        <v>58</v>
      </c>
      <c r="O93" s="430"/>
      <c r="P93" s="430"/>
    </row>
    <row r="94" spans="3:16" ht="15">
      <c r="C94" s="81">
        <v>42944</v>
      </c>
      <c r="D94" s="29">
        <v>13586.1</v>
      </c>
      <c r="G94" s="427"/>
      <c r="H94" s="427"/>
      <c r="I94" s="118"/>
      <c r="J94" s="436"/>
      <c r="K94" s="436"/>
      <c r="L94" s="436"/>
      <c r="M94" s="436"/>
      <c r="N94" s="436"/>
      <c r="O94" s="430"/>
      <c r="P94" s="430"/>
    </row>
    <row r="95" spans="3:16" ht="15.75" customHeight="1">
      <c r="C95" s="81">
        <v>42943</v>
      </c>
      <c r="D95" s="29">
        <v>6106.3</v>
      </c>
      <c r="F95" s="68"/>
      <c r="G95" s="427"/>
      <c r="H95" s="427"/>
      <c r="I95" s="118"/>
      <c r="J95" s="437"/>
      <c r="K95" s="437"/>
      <c r="L95" s="437"/>
      <c r="M95" s="437"/>
      <c r="N95" s="437"/>
      <c r="O95" s="430"/>
      <c r="P95" s="430"/>
    </row>
    <row r="96" spans="3:14" ht="15.75" customHeight="1">
      <c r="C96" s="81"/>
      <c r="F96" s="68"/>
      <c r="G96" s="421"/>
      <c r="H96" s="421"/>
      <c r="I96" s="124"/>
      <c r="J96" s="436"/>
      <c r="K96" s="436"/>
      <c r="L96" s="436"/>
      <c r="M96" s="436"/>
      <c r="N96" s="436"/>
    </row>
    <row r="97" spans="2:14" ht="18" customHeight="1">
      <c r="B97" s="425" t="s">
        <v>56</v>
      </c>
      <c r="C97" s="426"/>
      <c r="D97" s="133">
        <v>12794.02</v>
      </c>
      <c r="E97" s="69"/>
      <c r="F97" s="125" t="s">
        <v>107</v>
      </c>
      <c r="G97" s="427"/>
      <c r="H97" s="427"/>
      <c r="I97" s="126"/>
      <c r="J97" s="436"/>
      <c r="K97" s="436"/>
      <c r="L97" s="436"/>
      <c r="M97" s="436"/>
      <c r="N97" s="436"/>
    </row>
    <row r="98" spans="6:13" ht="9.75" customHeight="1" hidden="1">
      <c r="F98" s="68"/>
      <c r="G98" s="427"/>
      <c r="H98" s="427"/>
      <c r="I98" s="68"/>
      <c r="J98" s="69"/>
      <c r="K98" s="69"/>
      <c r="L98" s="69"/>
      <c r="M98" s="69"/>
    </row>
    <row r="99" spans="2:13" ht="22.5" customHeight="1" hidden="1">
      <c r="B99" s="428" t="s">
        <v>59</v>
      </c>
      <c r="C99" s="429"/>
      <c r="D99" s="80">
        <v>0</v>
      </c>
      <c r="E99" s="51" t="s">
        <v>24</v>
      </c>
      <c r="F99" s="68"/>
      <c r="G99" s="427"/>
      <c r="H99" s="427"/>
      <c r="I99" s="68"/>
      <c r="J99" s="69"/>
      <c r="K99" s="69"/>
      <c r="L99" s="69"/>
      <c r="M99" s="69"/>
    </row>
    <row r="100" spans="2:16" ht="15" hidden="1">
      <c r="B100" s="285" t="s">
        <v>195</v>
      </c>
      <c r="D100" s="68">
        <f>D48+D51+D52</f>
        <v>1060</v>
      </c>
      <c r="E100" s="68">
        <f>E48+E51+E52</f>
        <v>707</v>
      </c>
      <c r="F100" s="203">
        <f>F48+F51+F52</f>
        <v>1046.69</v>
      </c>
      <c r="G100" s="68">
        <f>G48+G51+G52</f>
        <v>339.69000000000005</v>
      </c>
      <c r="H100" s="69"/>
      <c r="I100" s="69"/>
      <c r="N100" s="29">
        <f>N48+N51+N52</f>
        <v>86</v>
      </c>
      <c r="O100" s="202">
        <f>O48+O51+O52</f>
        <v>136.24000000000007</v>
      </c>
      <c r="P100" s="29">
        <f>P48+P51+P52</f>
        <v>50.24000000000008</v>
      </c>
    </row>
    <row r="101" spans="4:16" ht="15" hidden="1">
      <c r="D101" s="78"/>
      <c r="I101" s="29"/>
      <c r="O101" s="420"/>
      <c r="P101" s="420"/>
    </row>
    <row r="102" spans="2:17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727611.5</v>
      </c>
      <c r="F102" s="229">
        <f>F9+F15+F18+F19+F23+F42+F45+F65+F59</f>
        <v>727819.2500000001</v>
      </c>
      <c r="G102" s="29">
        <f>F102-E102</f>
        <v>207.75000000011642</v>
      </c>
      <c r="H102" s="230">
        <f>F102/E102</f>
        <v>1.0002855232497014</v>
      </c>
      <c r="I102" s="29">
        <f>F102-D102</f>
        <v>-571229.35</v>
      </c>
      <c r="J102" s="230">
        <f>F102/D102</f>
        <v>0.5602709937103201</v>
      </c>
      <c r="N102" s="29">
        <f>N9+N15+N17+N18+N19+N23+N42+N45+N65+N59</f>
        <v>118465.80000000003</v>
      </c>
      <c r="O102" s="229">
        <f>O9+O15+O17+O18+O19+O23+O42+O45+O65+O59</f>
        <v>116115.39999999997</v>
      </c>
      <c r="P102" s="29">
        <f>O102-N102</f>
        <v>-2350.400000000067</v>
      </c>
      <c r="Q102" s="230">
        <f>O102/N102</f>
        <v>0.9801596747753355</v>
      </c>
    </row>
    <row r="103" spans="2:17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34931.2</v>
      </c>
      <c r="F103" s="229">
        <f>F43+F44+F46+F48+F50+F51+F52+F53+F54+F60+F64+F47+F66</f>
        <v>38216.609999999986</v>
      </c>
      <c r="G103" s="29">
        <f>G43+G44+G46+G48+G50+G51+G52+G53+G54+G60+G64+G47</f>
        <v>3290.6599999999985</v>
      </c>
      <c r="H103" s="230">
        <f>F103/E103</f>
        <v>1.0940537399230483</v>
      </c>
      <c r="I103" s="29">
        <f>I43+I44+I46+I48+I50+I51+I52+I53+I54+I60+I64+I47</f>
        <v>-20220.64</v>
      </c>
      <c r="J103" s="230">
        <f>F103/D103</f>
        <v>0.6539181246524359</v>
      </c>
      <c r="K103" s="29">
        <f>#N/A</f>
        <v>36542.33</v>
      </c>
      <c r="L103" s="29">
        <f>#N/A</f>
        <v>1679.7299999999998</v>
      </c>
      <c r="M103" s="29">
        <f>#N/A</f>
        <v>11.903468751773548</v>
      </c>
      <c r="N103" s="29">
        <f>N43+N44+N46+N48+N50+N51+N52+N53+N54+N60+N64+N47+N66</f>
        <v>5277.6</v>
      </c>
      <c r="O103" s="229">
        <f>O43+O44+O46+O48+O50+O51+O52+O53+O54+O60+O64+O47+O66</f>
        <v>6372.929999999999</v>
      </c>
      <c r="P103" s="29">
        <f>#N/A</f>
        <v>1095.5300000000002</v>
      </c>
      <c r="Q103" s="230">
        <f>O103/N103</f>
        <v>1.2075432014552068</v>
      </c>
    </row>
    <row r="104" spans="2:17" ht="15" hidden="1">
      <c r="B104" s="4" t="s">
        <v>121</v>
      </c>
      <c r="D104" s="29">
        <f>SUM(D102:D103)</f>
        <v>1357491.1</v>
      </c>
      <c r="E104" s="29">
        <f>#N/A</f>
        <v>762542.7</v>
      </c>
      <c r="F104" s="229">
        <f>#N/A</f>
        <v>766035.78</v>
      </c>
      <c r="G104" s="29">
        <f>#N/A</f>
        <v>3498.3300000000872</v>
      </c>
      <c r="H104" s="230">
        <f>F104/E104</f>
        <v>1.0045808319979983</v>
      </c>
      <c r="I104" s="29">
        <f>#N/A</f>
        <v>-591450.0700000001</v>
      </c>
      <c r="J104" s="230">
        <f>F104/D104</f>
        <v>0.5643026167906368</v>
      </c>
      <c r="K104" s="29">
        <f>#N/A</f>
        <v>36542.33</v>
      </c>
      <c r="L104" s="29">
        <f>#N/A</f>
        <v>1679.7299999999998</v>
      </c>
      <c r="M104" s="29">
        <f>#N/A</f>
        <v>11.903468751773548</v>
      </c>
      <c r="N104" s="29">
        <f>#N/A</f>
        <v>123743.40000000004</v>
      </c>
      <c r="O104" s="229">
        <f>#N/A</f>
        <v>122488.24999999997</v>
      </c>
      <c r="P104" s="29">
        <f>#N/A</f>
        <v>-1255.1500000000656</v>
      </c>
      <c r="Q104" s="230">
        <f>O104/N104</f>
        <v>0.9898568327684542</v>
      </c>
    </row>
    <row r="105" spans="4:19" ht="15" hidden="1">
      <c r="D105" s="29">
        <f>D67-D104</f>
        <v>0</v>
      </c>
      <c r="E105" s="29">
        <f>#N/A</f>
        <v>0</v>
      </c>
      <c r="F105" s="29">
        <f>#N/A</f>
        <v>23.869999999995343</v>
      </c>
      <c r="G105" s="29">
        <f>#N/A</f>
        <v>18.61999999998261</v>
      </c>
      <c r="H105" s="230"/>
      <c r="I105" s="29">
        <f>#N/A</f>
        <v>18.619999999995343</v>
      </c>
      <c r="J105" s="230"/>
      <c r="K105" s="29">
        <f>#N/A</f>
        <v>544065.4500000001</v>
      </c>
      <c r="L105" s="29">
        <f>#N/A</f>
        <v>183772.13999999998</v>
      </c>
      <c r="M105" s="29">
        <f>#N/A</f>
        <v>-10.584058856852746</v>
      </c>
      <c r="N105" s="29">
        <f>#N/A</f>
        <v>0</v>
      </c>
      <c r="O105" s="29">
        <f>#N/A</f>
        <v>22.69000000000233</v>
      </c>
      <c r="P105" s="29">
        <f>#N/A</f>
        <v>22.690000000000964</v>
      </c>
      <c r="Q105" s="29"/>
      <c r="R105" s="29">
        <f>#N/A</f>
        <v>108115.7</v>
      </c>
      <c r="S105" s="29"/>
    </row>
    <row r="106" ht="15" hidden="1">
      <c r="E106" s="4" t="s">
        <v>58</v>
      </c>
    </row>
    <row r="107" spans="2:5" ht="15" hidden="1">
      <c r="B107" s="245" t="s">
        <v>165</v>
      </c>
      <c r="E107" s="29">
        <f>E67-E9-E20-E29-E35</f>
        <v>79774.99999999996</v>
      </c>
    </row>
    <row r="108" spans="2:5" ht="15" hidden="1">
      <c r="B108" s="245" t="s">
        <v>166</v>
      </c>
      <c r="E108" s="29">
        <f>E88-E83-E76-E77</f>
        <v>20085.800000000003</v>
      </c>
    </row>
    <row r="109" ht="15" hidden="1"/>
    <row r="110" spans="2:19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268"/>
      <c r="N110" s="266"/>
      <c r="O110" s="266"/>
      <c r="P110" s="267"/>
      <c r="Q110" s="267"/>
      <c r="R110" s="270"/>
      <c r="S110" s="270"/>
    </row>
    <row r="111" spans="2:19" ht="23.25" customHeight="1" hidden="1">
      <c r="B111" s="14" t="s">
        <v>31</v>
      </c>
      <c r="C111" s="66"/>
      <c r="D111" s="191">
        <f>D88+D110</f>
        <v>318064.25</v>
      </c>
      <c r="E111" s="191">
        <f>E88+E110</f>
        <v>75428.66</v>
      </c>
      <c r="F111" s="191">
        <f>F88+F110</f>
        <v>38340.86</v>
      </c>
      <c r="G111" s="192">
        <f>F111-E111</f>
        <v>-37087.8</v>
      </c>
      <c r="H111" s="193">
        <f>F111/E111*100</f>
        <v>50.83062591858321</v>
      </c>
      <c r="I111" s="194">
        <f>F111-D111</f>
        <v>-279723.39</v>
      </c>
      <c r="J111" s="194">
        <f>F111/D111*100</f>
        <v>12.054438686523241</v>
      </c>
      <c r="K111" s="194">
        <v>3039.87</v>
      </c>
      <c r="L111" s="194">
        <f>F111-K111</f>
        <v>35300.99</v>
      </c>
      <c r="M111" s="269">
        <f>F111/K111</f>
        <v>12.612664357357387</v>
      </c>
      <c r="N111" s="272"/>
      <c r="O111" s="272"/>
      <c r="P111" s="273"/>
      <c r="Q111" s="273"/>
      <c r="R111" s="271">
        <f>O111-8104.96</f>
        <v>-8104.96</v>
      </c>
      <c r="S111" s="271"/>
    </row>
    <row r="112" spans="2:19" ht="17.25" hidden="1">
      <c r="B112" s="21" t="s">
        <v>181</v>
      </c>
      <c r="C112" s="66"/>
      <c r="D112" s="191">
        <f>D111+D67</f>
        <v>1675555.35</v>
      </c>
      <c r="E112" s="191">
        <f>E111+E67</f>
        <v>837971.36</v>
      </c>
      <c r="F112" s="191">
        <f>F111+F67</f>
        <v>804400.5900000001</v>
      </c>
      <c r="G112" s="192">
        <f>F112-E112</f>
        <v>-33570.7699999999</v>
      </c>
      <c r="H112" s="193">
        <f>F112/E112*100</f>
        <v>95.99380460926494</v>
      </c>
      <c r="I112" s="194">
        <f>F112-D112</f>
        <v>-871154.76</v>
      </c>
      <c r="J112" s="194">
        <f>F112/D112*100</f>
        <v>48.00799866145872</v>
      </c>
      <c r="K112" s="194">
        <f>K89+K111</f>
        <v>606374.85</v>
      </c>
      <c r="L112" s="194">
        <f>F112-K112</f>
        <v>198025.7400000001</v>
      </c>
      <c r="M112" s="269">
        <f>F112/K112</f>
        <v>1.3265731420094355</v>
      </c>
      <c r="N112" s="274"/>
      <c r="O112" s="274"/>
      <c r="P112" s="273"/>
      <c r="Q112" s="273"/>
      <c r="R112" s="271">
        <f>O112-42872.96</f>
        <v>-42872.96</v>
      </c>
      <c r="S112" s="271"/>
    </row>
    <row r="113" spans="2:17" ht="15" hidden="1">
      <c r="B113" s="241" t="s">
        <v>183</v>
      </c>
      <c r="C113" s="239">
        <v>40000000</v>
      </c>
      <c r="D113" s="244">
        <f>#N/A</f>
        <v>1222868.6900000002</v>
      </c>
      <c r="E113" s="244">
        <f>#N/A</f>
        <v>550655.6</v>
      </c>
      <c r="F113" s="244">
        <f>#N/A</f>
        <v>545829.08</v>
      </c>
      <c r="G113" s="244">
        <f>#N/A</f>
        <v>-4826.520000000019</v>
      </c>
      <c r="H113" s="244">
        <f>F113/E113*100</f>
        <v>99.12349570221387</v>
      </c>
      <c r="I113" s="36">
        <f>#N/A</f>
        <v>-677039.6100000002</v>
      </c>
      <c r="J113" s="36">
        <f>F113/D113*100</f>
        <v>44.63513412875097</v>
      </c>
      <c r="Q113" s="89"/>
    </row>
    <row r="114" spans="2:17" ht="15" customHeight="1" hidden="1">
      <c r="B114" s="240" t="s">
        <v>154</v>
      </c>
      <c r="C114" s="239">
        <v>41000000</v>
      </c>
      <c r="D114" s="244">
        <f>#N/A</f>
        <v>1222868.6900000002</v>
      </c>
      <c r="E114" s="244">
        <f>#N/A</f>
        <v>550655.6</v>
      </c>
      <c r="F114" s="244">
        <f>#N/A</f>
        <v>545829.08</v>
      </c>
      <c r="G114" s="244">
        <f>#N/A</f>
        <v>-4826.520000000019</v>
      </c>
      <c r="H114" s="244">
        <f>#N/A</f>
        <v>99.12349570221387</v>
      </c>
      <c r="I114" s="36">
        <f>#N/A</f>
        <v>-677039.6100000002</v>
      </c>
      <c r="J114" s="36">
        <f>#N/A</f>
        <v>44.63513412875097</v>
      </c>
      <c r="Q114" s="89"/>
    </row>
    <row r="115" spans="2:17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>
        <f>#N/A</f>
        <v>-4826.520000000019</v>
      </c>
      <c r="H115" s="244">
        <f>#N/A</f>
        <v>99.12349570221387</v>
      </c>
      <c r="I115" s="36">
        <f>#N/A</f>
        <v>-677039.6100000002</v>
      </c>
      <c r="J115" s="36">
        <f>#N/A</f>
        <v>44.63513412875097</v>
      </c>
      <c r="Q115" s="89"/>
    </row>
    <row r="116" spans="2:17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>
        <f>#N/A</f>
        <v>-3734.029999999999</v>
      </c>
      <c r="H116" s="244">
        <f>#N/A</f>
        <v>95.0108160470321</v>
      </c>
      <c r="I116" s="36">
        <f>#N/A</f>
        <v>-240704.93000000002</v>
      </c>
      <c r="J116" s="36">
        <f>#N/A</f>
        <v>22.80481531582671</v>
      </c>
      <c r="Q116" s="89"/>
    </row>
    <row r="117" spans="2:17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>
        <f>#N/A</f>
        <v>-707.6699999999837</v>
      </c>
      <c r="H117" s="244">
        <f>#N/A</f>
        <v>99.80061079304002</v>
      </c>
      <c r="I117" s="36">
        <f>#N/A</f>
        <v>-54436.96000000002</v>
      </c>
      <c r="J117" s="36">
        <f>#N/A</f>
        <v>86.67877161822808</v>
      </c>
      <c r="Q117" s="89"/>
    </row>
    <row r="118" spans="2:17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>
        <f>#N/A</f>
        <v>-16.159999999999997</v>
      </c>
      <c r="H118" s="244">
        <f>#N/A</f>
        <v>71.64912280701755</v>
      </c>
      <c r="I118" s="36">
        <f>#N/A</f>
        <v>-186.85999999999999</v>
      </c>
      <c r="J118" s="36">
        <f>#N/A</f>
        <v>17.9358805445762</v>
      </c>
      <c r="Q118" s="89"/>
    </row>
    <row r="119" spans="2:17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>
        <f>#N/A</f>
        <v>0</v>
      </c>
      <c r="H119" s="244">
        <f>#N/A</f>
        <v>100</v>
      </c>
      <c r="I119" s="36">
        <f>#N/A</f>
        <v>-187142.9</v>
      </c>
      <c r="J119" s="36">
        <f>#N/A</f>
        <v>23.092327639525013</v>
      </c>
      <c r="Q119" s="89"/>
    </row>
    <row r="120" spans="2:17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>
        <f>#N/A</f>
        <v>0</v>
      </c>
      <c r="H120" s="244">
        <f>#N/A</f>
        <v>100</v>
      </c>
      <c r="I120" s="36">
        <f>#N/A</f>
        <v>-178707.6</v>
      </c>
      <c r="J120" s="36">
        <f>#N/A</f>
        <v>24.991406068008537</v>
      </c>
      <c r="Q120" s="89"/>
    </row>
    <row r="121" spans="2:17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>
        <f>#N/A</f>
        <v>-460.1399999999999</v>
      </c>
      <c r="H121" s="244">
        <f>#N/A</f>
        <v>89.02806292160552</v>
      </c>
      <c r="I121" s="36">
        <f>#N/A</f>
        <v>-12505.44</v>
      </c>
      <c r="J121" s="36">
        <f>#N/A</f>
        <v>22.99174399550714</v>
      </c>
      <c r="Q121" s="89"/>
    </row>
    <row r="122" spans="2:17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>
        <f>#N/A</f>
        <v>165.7</v>
      </c>
      <c r="H122" s="244">
        <f>#N/A</f>
        <v>0</v>
      </c>
      <c r="I122" s="36">
        <f>#N/A</f>
        <v>165.7</v>
      </c>
      <c r="J122" s="36" t="e">
        <f>#N/A</f>
        <v>#DIV/0!</v>
      </c>
      <c r="Q122" s="89"/>
    </row>
    <row r="123" spans="2:17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>
        <f>#N/A</f>
        <v>-74.22000000000003</v>
      </c>
      <c r="H123" s="244">
        <f>#N/A</f>
        <v>91.84305967688756</v>
      </c>
      <c r="I123" s="36">
        <f>#N/A</f>
        <v>-3520.6200000000003</v>
      </c>
      <c r="J123" s="36">
        <f>#N/A</f>
        <v>19.183251842159628</v>
      </c>
      <c r="Q123" s="89"/>
    </row>
    <row r="124" spans="2:17" s="242" customFormat="1" ht="25.5" customHeight="1" hidden="1">
      <c r="B124" s="275" t="s">
        <v>158</v>
      </c>
      <c r="C124" s="276"/>
      <c r="D124" s="277">
        <f>D112+D113</f>
        <v>2898424.04</v>
      </c>
      <c r="E124" s="277">
        <f>E112+E113</f>
        <v>1388626.96</v>
      </c>
      <c r="F124" s="277">
        <f>F112+F113</f>
        <v>1350229.67</v>
      </c>
      <c r="G124" s="278">
        <f>#N/A</f>
        <v>-38397.37000000011</v>
      </c>
      <c r="H124" s="277">
        <f>#N/A</f>
        <v>97.23486788705297</v>
      </c>
      <c r="I124" s="279">
        <f>#N/A</f>
        <v>-1548194.4500000002</v>
      </c>
      <c r="J124" s="279">
        <f>#N/A</f>
        <v>46.58495690644354</v>
      </c>
      <c r="Q124" s="243"/>
    </row>
    <row r="125" ht="15" hidden="1"/>
    <row r="126" ht="15" hidden="1"/>
  </sheetData>
  <sheetProtection/>
  <mergeCells count="37">
    <mergeCell ref="B99:C99"/>
    <mergeCell ref="G99:H99"/>
    <mergeCell ref="O101:P101"/>
    <mergeCell ref="G96:H96"/>
    <mergeCell ref="J96:N96"/>
    <mergeCell ref="B97:C97"/>
    <mergeCell ref="G97:H97"/>
    <mergeCell ref="J97:N97"/>
    <mergeCell ref="G98:H98"/>
    <mergeCell ref="G94:H94"/>
    <mergeCell ref="J94:N94"/>
    <mergeCell ref="O94:P94"/>
    <mergeCell ref="G95:H95"/>
    <mergeCell ref="J95:N95"/>
    <mergeCell ref="O95:P95"/>
    <mergeCell ref="P4:P5"/>
    <mergeCell ref="Q4:Q5"/>
    <mergeCell ref="K5:M5"/>
    <mergeCell ref="R5:S5"/>
    <mergeCell ref="G92:J92"/>
    <mergeCell ref="O93:P93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.5905511811023623" right="0.11811023622047245" top="0.15748031496062992" bottom="0.15748031496062992" header="0" footer="0"/>
  <pageSetup fitToHeight="1" fitToWidth="1" orientation="portrait" paperSize="9" scale="4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30"/>
  <sheetViews>
    <sheetView zoomScale="74" zoomScaleNormal="74" zoomScalePageLayoutView="0" workbookViewId="0" topLeftCell="B1">
      <pane xSplit="2" ySplit="8" topLeftCell="D92" activePane="bottomRight" state="frozen"/>
      <selection pane="topLeft" activeCell="B1" sqref="B1"/>
      <selection pane="topRight" activeCell="D1" sqref="D1"/>
      <selection pane="bottomLeft" activeCell="B9" sqref="B9"/>
      <selection pane="bottomRight" activeCell="D97" sqref="D97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9" width="11.00390625" style="4" customWidth="1"/>
    <col min="20" max="16384" width="9.125" style="4" customWidth="1"/>
  </cols>
  <sheetData>
    <row r="1" spans="1:19" s="1" customFormat="1" ht="26.25" customHeight="1">
      <c r="A1" s="396" t="s">
        <v>216</v>
      </c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  <c r="M1" s="396"/>
      <c r="N1" s="396"/>
      <c r="O1" s="396"/>
      <c r="P1" s="396"/>
      <c r="Q1" s="396"/>
      <c r="R1" s="86"/>
      <c r="S1" s="86"/>
    </row>
    <row r="2" spans="2:19" s="1" customFormat="1" ht="15.75" customHeight="1">
      <c r="B2" s="397"/>
      <c r="C2" s="397"/>
      <c r="D2" s="397"/>
      <c r="E2" s="2"/>
      <c r="F2" s="112"/>
      <c r="G2" s="2"/>
      <c r="H2" s="2"/>
      <c r="M2" s="1" t="s">
        <v>24</v>
      </c>
      <c r="Q2" s="17" t="s">
        <v>24</v>
      </c>
      <c r="R2" s="17"/>
      <c r="S2" s="17"/>
    </row>
    <row r="3" spans="1:19" s="3" customFormat="1" ht="13.5" customHeight="1">
      <c r="A3" s="398"/>
      <c r="B3" s="400"/>
      <c r="C3" s="401" t="s">
        <v>0</v>
      </c>
      <c r="D3" s="402" t="s">
        <v>150</v>
      </c>
      <c r="E3" s="32"/>
      <c r="F3" s="403" t="s">
        <v>26</v>
      </c>
      <c r="G3" s="404"/>
      <c r="H3" s="404"/>
      <c r="I3" s="404"/>
      <c r="J3" s="405"/>
      <c r="K3" s="83"/>
      <c r="L3" s="83"/>
      <c r="M3" s="83"/>
      <c r="N3" s="406" t="s">
        <v>212</v>
      </c>
      <c r="O3" s="409" t="s">
        <v>213</v>
      </c>
      <c r="P3" s="409"/>
      <c r="Q3" s="409"/>
      <c r="R3" s="409"/>
      <c r="S3" s="409"/>
    </row>
    <row r="4" spans="1:19" ht="22.5" customHeight="1">
      <c r="A4" s="398"/>
      <c r="B4" s="400"/>
      <c r="C4" s="401"/>
      <c r="D4" s="402"/>
      <c r="E4" s="392" t="s">
        <v>209</v>
      </c>
      <c r="F4" s="422" t="s">
        <v>33</v>
      </c>
      <c r="G4" s="410" t="s">
        <v>210</v>
      </c>
      <c r="H4" s="407" t="s">
        <v>211</v>
      </c>
      <c r="I4" s="410" t="s">
        <v>138</v>
      </c>
      <c r="J4" s="407" t="s">
        <v>139</v>
      </c>
      <c r="K4" s="85" t="s">
        <v>141</v>
      </c>
      <c r="L4" s="204" t="s">
        <v>113</v>
      </c>
      <c r="M4" s="90" t="s">
        <v>63</v>
      </c>
      <c r="N4" s="407"/>
      <c r="O4" s="394" t="s">
        <v>217</v>
      </c>
      <c r="P4" s="410" t="s">
        <v>49</v>
      </c>
      <c r="Q4" s="412" t="s">
        <v>48</v>
      </c>
      <c r="R4" s="91" t="s">
        <v>64</v>
      </c>
      <c r="S4" s="91"/>
    </row>
    <row r="5" spans="1:19" ht="67.5" customHeight="1">
      <c r="A5" s="399"/>
      <c r="B5" s="400"/>
      <c r="C5" s="401"/>
      <c r="D5" s="402"/>
      <c r="E5" s="393"/>
      <c r="F5" s="423"/>
      <c r="G5" s="411"/>
      <c r="H5" s="408"/>
      <c r="I5" s="411"/>
      <c r="J5" s="408"/>
      <c r="K5" s="413" t="s">
        <v>214</v>
      </c>
      <c r="L5" s="414"/>
      <c r="M5" s="415"/>
      <c r="N5" s="408"/>
      <c r="O5" s="395"/>
      <c r="P5" s="411"/>
      <c r="Q5" s="412"/>
      <c r="R5" s="434" t="s">
        <v>215</v>
      </c>
      <c r="S5" s="435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0"/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10"/>
    </row>
    <row r="8" spans="1:19" s="6" customFormat="1" ht="17.25">
      <c r="A8" s="7"/>
      <c r="B8" s="154" t="s">
        <v>9</v>
      </c>
      <c r="C8" s="70" t="s">
        <v>10</v>
      </c>
      <c r="D8" s="151">
        <f>D9+D15+D18+D19+D23+D17</f>
        <v>1298451.1</v>
      </c>
      <c r="E8" s="151">
        <f>E9+E15+E18+E19+E23+E17</f>
        <v>608875.6</v>
      </c>
      <c r="F8" s="151">
        <f>F9+F15+F18+F19+F23+F17</f>
        <v>609470.12</v>
      </c>
      <c r="G8" s="151">
        <f>#N/A</f>
        <v>594.5200000000186</v>
      </c>
      <c r="H8" s="152">
        <f>F8/E8*100</f>
        <v>100.09764227701028</v>
      </c>
      <c r="I8" s="153">
        <f>F8-D8</f>
        <v>-688980.9800000001</v>
      </c>
      <c r="J8" s="153">
        <f>F8/D8*100</f>
        <v>46.93824203314241</v>
      </c>
      <c r="K8" s="151">
        <v>465511.42</v>
      </c>
      <c r="L8" s="151">
        <f>#N/A</f>
        <v>143958.7</v>
      </c>
      <c r="M8" s="205">
        <f>#N/A</f>
        <v>1.3092484820243508</v>
      </c>
      <c r="N8" s="151">
        <f>N9+N15+N18+N19+N23+N17</f>
        <v>104172</v>
      </c>
      <c r="O8" s="151">
        <f>O9+O15+O18+O19+O23+O17</f>
        <v>104374.15999999999</v>
      </c>
      <c r="P8" s="151">
        <f>O8-N8</f>
        <v>202.15999999998894</v>
      </c>
      <c r="Q8" s="151">
        <f>O8/N8*100</f>
        <v>100.1940636639404</v>
      </c>
      <c r="R8" s="15">
        <f>R9+R15+R18+R19+R23</f>
        <v>102514</v>
      </c>
      <c r="S8" s="15">
        <f>O8-R8</f>
        <v>1860.159999999989</v>
      </c>
    </row>
    <row r="9" spans="1:19" s="6" customFormat="1" ht="18">
      <c r="A9" s="8"/>
      <c r="B9" s="13" t="s">
        <v>79</v>
      </c>
      <c r="C9" s="43">
        <v>11010000</v>
      </c>
      <c r="D9" s="150">
        <v>766645</v>
      </c>
      <c r="E9" s="150">
        <v>349240</v>
      </c>
      <c r="F9" s="156">
        <v>351542.38</v>
      </c>
      <c r="G9" s="150">
        <f>#N/A</f>
        <v>2302.3800000000047</v>
      </c>
      <c r="H9" s="157">
        <f>F9/E9*100</f>
        <v>100.65925438094148</v>
      </c>
      <c r="I9" s="158">
        <f>F9-D9</f>
        <v>-415102.62</v>
      </c>
      <c r="J9" s="158">
        <f>F9/D9*100</f>
        <v>45.854649805320584</v>
      </c>
      <c r="K9" s="227">
        <v>261442.54</v>
      </c>
      <c r="L9" s="159">
        <f>#N/A</f>
        <v>90099.84</v>
      </c>
      <c r="M9" s="206">
        <f>#N/A</f>
        <v>1.344625782781945</v>
      </c>
      <c r="N9" s="157">
        <f>E9-травень!E9</f>
        <v>70400</v>
      </c>
      <c r="O9" s="160">
        <f>F9-травень!F9</f>
        <v>69910.79999999999</v>
      </c>
      <c r="P9" s="161">
        <f>O9-N9</f>
        <v>-489.20000000001164</v>
      </c>
      <c r="Q9" s="158">
        <f>O9/N9*100</f>
        <v>99.30511363636361</v>
      </c>
      <c r="R9" s="100">
        <v>71000</v>
      </c>
      <c r="S9" s="100">
        <f>O9-R9</f>
        <v>-1089.2000000000116</v>
      </c>
    </row>
    <row r="10" spans="1:19" s="6" customFormat="1" ht="15" customHeight="1">
      <c r="A10" s="8"/>
      <c r="B10" s="121" t="s">
        <v>89</v>
      </c>
      <c r="C10" s="102">
        <v>11010100</v>
      </c>
      <c r="D10" s="103">
        <v>701317</v>
      </c>
      <c r="E10" s="103">
        <v>318064</v>
      </c>
      <c r="F10" s="140">
        <v>322544.76</v>
      </c>
      <c r="G10" s="103">
        <f>#N/A</f>
        <v>4480.760000000009</v>
      </c>
      <c r="H10" s="30">
        <f>#N/A</f>
        <v>101.40876050103125</v>
      </c>
      <c r="I10" s="104">
        <f>#N/A</f>
        <v>-378772.24</v>
      </c>
      <c r="J10" s="104">
        <f>#N/A</f>
        <v>45.991293523470844</v>
      </c>
      <c r="K10" s="106">
        <v>231268.41</v>
      </c>
      <c r="L10" s="106">
        <f>#N/A</f>
        <v>91276.35</v>
      </c>
      <c r="M10" s="207">
        <f>#N/A</f>
        <v>1.394677119975011</v>
      </c>
      <c r="N10" s="105">
        <f>E10-травень!E10</f>
        <v>64904</v>
      </c>
      <c r="O10" s="144">
        <f>F10-травень!F10</f>
        <v>64965.580000000016</v>
      </c>
      <c r="P10" s="106">
        <f>#N/A</f>
        <v>61.5800000000163</v>
      </c>
      <c r="Q10" s="104">
        <f>#N/A</f>
        <v>100.09487858991744</v>
      </c>
      <c r="R10" s="37"/>
      <c r="S10" s="100">
        <f>#N/A</f>
        <v>64965.580000000016</v>
      </c>
    </row>
    <row r="11" spans="1:19" s="6" customFormat="1" ht="15" customHeight="1">
      <c r="A11" s="8"/>
      <c r="B11" s="121" t="s">
        <v>85</v>
      </c>
      <c r="C11" s="102">
        <v>11010200</v>
      </c>
      <c r="D11" s="103">
        <v>46506</v>
      </c>
      <c r="E11" s="103">
        <v>22200</v>
      </c>
      <c r="F11" s="140">
        <v>19085.89</v>
      </c>
      <c r="G11" s="103">
        <f>#N/A</f>
        <v>-3114.1100000000006</v>
      </c>
      <c r="H11" s="30">
        <f>#N/A</f>
        <v>85.97247747747747</v>
      </c>
      <c r="I11" s="104">
        <f>#N/A</f>
        <v>-27420.11</v>
      </c>
      <c r="J11" s="104">
        <f>#N/A</f>
        <v>41.039629295144714</v>
      </c>
      <c r="K11" s="106">
        <v>18032.25</v>
      </c>
      <c r="L11" s="106">
        <f>#N/A</f>
        <v>1053.6399999999994</v>
      </c>
      <c r="M11" s="207">
        <f>#N/A</f>
        <v>1.0584308669189924</v>
      </c>
      <c r="N11" s="105">
        <f>E11-травень!E11</f>
        <v>3840</v>
      </c>
      <c r="O11" s="144">
        <f>F11-травень!F11</f>
        <v>3265.99</v>
      </c>
      <c r="P11" s="106">
        <f>#N/A</f>
        <v>-574.0100000000002</v>
      </c>
      <c r="Q11" s="104">
        <f>#N/A</f>
        <v>85.05182291666667</v>
      </c>
      <c r="R11" s="37"/>
      <c r="S11" s="100">
        <f>#N/A</f>
        <v>3265.99</v>
      </c>
    </row>
    <row r="12" spans="1:19" s="6" customFormat="1" ht="15" customHeight="1">
      <c r="A12" s="8"/>
      <c r="B12" s="121" t="s">
        <v>88</v>
      </c>
      <c r="C12" s="102">
        <v>11010400</v>
      </c>
      <c r="D12" s="103">
        <v>8280</v>
      </c>
      <c r="E12" s="103">
        <v>3840</v>
      </c>
      <c r="F12" s="140">
        <v>4513.03</v>
      </c>
      <c r="G12" s="103">
        <f>#N/A</f>
        <v>673.0299999999997</v>
      </c>
      <c r="H12" s="30">
        <f>#N/A</f>
        <v>117.52682291666665</v>
      </c>
      <c r="I12" s="104">
        <f>#N/A</f>
        <v>-3766.9700000000003</v>
      </c>
      <c r="J12" s="104">
        <f>#N/A</f>
        <v>54.50519323671498</v>
      </c>
      <c r="K12" s="106">
        <v>5288.66</v>
      </c>
      <c r="L12" s="106">
        <f>#N/A</f>
        <v>-775.6300000000001</v>
      </c>
      <c r="M12" s="207">
        <f>#N/A</f>
        <v>0.85334092189704</v>
      </c>
      <c r="N12" s="105">
        <f>E12-травень!E12</f>
        <v>900</v>
      </c>
      <c r="O12" s="144">
        <f>F12-травень!F12</f>
        <v>770.7699999999995</v>
      </c>
      <c r="P12" s="106">
        <f>#N/A</f>
        <v>-129.23000000000047</v>
      </c>
      <c r="Q12" s="104">
        <f>#N/A</f>
        <v>85.64111111111106</v>
      </c>
      <c r="R12" s="37"/>
      <c r="S12" s="100">
        <f>#N/A</f>
        <v>770.7699999999995</v>
      </c>
    </row>
    <row r="13" spans="1:19" s="6" customFormat="1" ht="15" customHeight="1">
      <c r="A13" s="8"/>
      <c r="B13" s="121" t="s">
        <v>86</v>
      </c>
      <c r="C13" s="102">
        <v>11010500</v>
      </c>
      <c r="D13" s="103">
        <v>9390</v>
      </c>
      <c r="E13" s="103">
        <v>4560</v>
      </c>
      <c r="F13" s="140">
        <v>4691.17</v>
      </c>
      <c r="G13" s="103">
        <f>#N/A</f>
        <v>131.17000000000007</v>
      </c>
      <c r="H13" s="30">
        <f>#N/A</f>
        <v>102.8765350877193</v>
      </c>
      <c r="I13" s="104">
        <f>#N/A</f>
        <v>-4698.83</v>
      </c>
      <c r="J13" s="104">
        <f>#N/A</f>
        <v>49.95921192758254</v>
      </c>
      <c r="K13" s="106">
        <v>4452.61</v>
      </c>
      <c r="L13" s="106">
        <f>#N/A</f>
        <v>238.5600000000004</v>
      </c>
      <c r="M13" s="207">
        <f>#N/A</f>
        <v>1.053577564619403</v>
      </c>
      <c r="N13" s="105">
        <f>E13-травень!E13</f>
        <v>660</v>
      </c>
      <c r="O13" s="144">
        <f>F13-травень!F13</f>
        <v>808.5799999999999</v>
      </c>
      <c r="P13" s="106">
        <f>#N/A</f>
        <v>148.57999999999993</v>
      </c>
      <c r="Q13" s="104">
        <f>#N/A</f>
        <v>122.5121212121212</v>
      </c>
      <c r="R13" s="37"/>
      <c r="S13" s="100">
        <f>#N/A</f>
        <v>808.5799999999999</v>
      </c>
    </row>
    <row r="14" spans="1:19" s="6" customFormat="1" ht="15" customHeight="1">
      <c r="A14" s="8"/>
      <c r="B14" s="121" t="s">
        <v>87</v>
      </c>
      <c r="C14" s="102">
        <v>11010900</v>
      </c>
      <c r="D14" s="103">
        <v>1152</v>
      </c>
      <c r="E14" s="103">
        <v>576</v>
      </c>
      <c r="F14" s="140">
        <v>707.53</v>
      </c>
      <c r="G14" s="103">
        <f>#N/A</f>
        <v>131.52999999999997</v>
      </c>
      <c r="H14" s="30">
        <f>#N/A</f>
        <v>122.83506944444444</v>
      </c>
      <c r="I14" s="104">
        <f>#N/A</f>
        <v>-444.47</v>
      </c>
      <c r="J14" s="104">
        <f>#N/A</f>
        <v>61.41753472222222</v>
      </c>
      <c r="K14" s="106">
        <v>2400.61</v>
      </c>
      <c r="L14" s="106">
        <f>#N/A</f>
        <v>-1693.0800000000002</v>
      </c>
      <c r="M14" s="207">
        <f>#N/A</f>
        <v>0.29472925631402014</v>
      </c>
      <c r="N14" s="105">
        <f>E14-травень!E14</f>
        <v>96</v>
      </c>
      <c r="O14" s="144">
        <f>F14-травень!F14</f>
        <v>99.88</v>
      </c>
      <c r="P14" s="106">
        <f>#N/A</f>
        <v>3.8799999999999955</v>
      </c>
      <c r="Q14" s="104">
        <f>#N/A</f>
        <v>104.04166666666666</v>
      </c>
      <c r="R14" s="37"/>
      <c r="S14" s="100">
        <f>#N/A</f>
        <v>99.88</v>
      </c>
    </row>
    <row r="15" spans="1:19" s="6" customFormat="1" ht="30.75">
      <c r="A15" s="8"/>
      <c r="B15" s="12" t="s">
        <v>11</v>
      </c>
      <c r="C15" s="43">
        <v>11020200</v>
      </c>
      <c r="D15" s="150">
        <v>551</v>
      </c>
      <c r="E15" s="150">
        <v>341</v>
      </c>
      <c r="F15" s="156">
        <v>44.56</v>
      </c>
      <c r="G15" s="150">
        <f>#N/A</f>
        <v>-296.44</v>
      </c>
      <c r="H15" s="157">
        <f>F15/E15*100</f>
        <v>13.067448680351907</v>
      </c>
      <c r="I15" s="158">
        <f>#N/A</f>
        <v>-506.44</v>
      </c>
      <c r="J15" s="158">
        <f>F15/D15*100</f>
        <v>8.087114337568059</v>
      </c>
      <c r="K15" s="161">
        <v>309.24</v>
      </c>
      <c r="L15" s="161">
        <f>#N/A</f>
        <v>-264.68</v>
      </c>
      <c r="M15" s="208">
        <f>#N/A</f>
        <v>0.14409520113827448</v>
      </c>
      <c r="N15" s="164">
        <f>E15-травень!E15</f>
        <v>0</v>
      </c>
      <c r="O15" s="168">
        <f>F15-травень!F15</f>
        <v>0</v>
      </c>
      <c r="P15" s="161">
        <f>#N/A</f>
        <v>0</v>
      </c>
      <c r="Q15" s="158"/>
      <c r="R15" s="37">
        <v>0</v>
      </c>
      <c r="S15" s="100">
        <f>#N/A</f>
        <v>0</v>
      </c>
    </row>
    <row r="16" spans="1:19" s="6" customFormat="1" ht="18" customHeight="1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>#N/A</f>
        <v>0</v>
      </c>
      <c r="H16" s="157" t="e">
        <f>F16/E16/100</f>
        <v>#DIV/0!</v>
      </c>
      <c r="I16" s="37">
        <f>#N/A</f>
        <v>0</v>
      </c>
      <c r="J16" s="37" t="e">
        <f>#N/A</f>
        <v>#DIV/0!</v>
      </c>
      <c r="K16" s="106">
        <v>381.9</v>
      </c>
      <c r="L16" s="161">
        <f>#N/A</f>
        <v>-381.9</v>
      </c>
      <c r="M16" s="208">
        <f>#N/A</f>
        <v>0</v>
      </c>
      <c r="N16" s="164">
        <f>E16-травень!E16</f>
        <v>0</v>
      </c>
      <c r="O16" s="168">
        <f>F16-травень!F16</f>
        <v>0</v>
      </c>
      <c r="P16" s="36">
        <f>#N/A</f>
        <v>0</v>
      </c>
      <c r="Q16" s="158" t="e">
        <f>#N/A</f>
        <v>#DIV/0!</v>
      </c>
      <c r="R16" s="104">
        <f>O16-358.81</f>
        <v>-358.81</v>
      </c>
      <c r="S16" s="100">
        <f>#N/A</f>
        <v>358.81</v>
      </c>
    </row>
    <row r="17" spans="1:19" s="6" customFormat="1" ht="30.75" customHeight="1">
      <c r="A17" s="8"/>
      <c r="B17" s="225" t="s">
        <v>116</v>
      </c>
      <c r="C17" s="120">
        <v>13010200</v>
      </c>
      <c r="D17" s="162">
        <v>0</v>
      </c>
      <c r="E17" s="162">
        <v>0</v>
      </c>
      <c r="F17" s="163">
        <v>0.49</v>
      </c>
      <c r="G17" s="162">
        <f>#N/A</f>
        <v>0.49</v>
      </c>
      <c r="H17" s="157"/>
      <c r="I17" s="165">
        <f>#N/A</f>
        <v>0.49</v>
      </c>
      <c r="J17" s="165"/>
      <c r="K17" s="167">
        <v>0.17</v>
      </c>
      <c r="L17" s="161">
        <f>#N/A</f>
        <v>0.31999999999999995</v>
      </c>
      <c r="M17" s="208">
        <f>#N/A</f>
        <v>2.88235294117647</v>
      </c>
      <c r="N17" s="164">
        <f>E17-травень!E17</f>
        <v>0</v>
      </c>
      <c r="O17" s="168">
        <f>F17-травень!F17</f>
        <v>0</v>
      </c>
      <c r="P17" s="167">
        <f>O17-N17</f>
        <v>0</v>
      </c>
      <c r="Q17" s="158"/>
      <c r="R17" s="104"/>
      <c r="S17" s="100">
        <f>#N/A</f>
        <v>0</v>
      </c>
    </row>
    <row r="18" spans="1:19" s="6" customFormat="1" ht="30.75">
      <c r="A18" s="8"/>
      <c r="B18" s="13" t="s">
        <v>117</v>
      </c>
      <c r="C18" s="43" t="s">
        <v>58</v>
      </c>
      <c r="D18" s="150">
        <v>125</v>
      </c>
      <c r="E18" s="150">
        <v>70</v>
      </c>
      <c r="F18" s="156">
        <v>118.46</v>
      </c>
      <c r="G18" s="150">
        <f>#N/A</f>
        <v>48.459999999999994</v>
      </c>
      <c r="H18" s="157">
        <f>F18/E18*100</f>
        <v>169.22857142857143</v>
      </c>
      <c r="I18" s="158">
        <f>#N/A</f>
        <v>-6.540000000000006</v>
      </c>
      <c r="J18" s="158">
        <f>#N/A</f>
        <v>94.768</v>
      </c>
      <c r="K18" s="161">
        <v>105.8</v>
      </c>
      <c r="L18" s="161">
        <f>#N/A</f>
        <v>12.659999999999997</v>
      </c>
      <c r="M18" s="208">
        <f>#N/A</f>
        <v>1.1196597353497164</v>
      </c>
      <c r="N18" s="164">
        <f>E18-травень!E18</f>
        <v>0</v>
      </c>
      <c r="O18" s="168">
        <f>F18-травень!F18</f>
        <v>0</v>
      </c>
      <c r="P18" s="161">
        <f>#N/A</f>
        <v>0</v>
      </c>
      <c r="Q18" s="158"/>
      <c r="R18" s="37">
        <v>0</v>
      </c>
      <c r="S18" s="100">
        <f>#N/A</f>
        <v>0</v>
      </c>
    </row>
    <row r="19" spans="1:19" s="6" customFormat="1" ht="18">
      <c r="A19" s="8"/>
      <c r="B19" s="13" t="s">
        <v>172</v>
      </c>
      <c r="C19" s="43"/>
      <c r="D19" s="150">
        <f>D20+D21+D22</f>
        <v>130000</v>
      </c>
      <c r="E19" s="150">
        <v>59600</v>
      </c>
      <c r="F19" s="156">
        <v>53960.11</v>
      </c>
      <c r="G19" s="162">
        <f>#N/A</f>
        <v>-5639.889999999999</v>
      </c>
      <c r="H19" s="164">
        <f>#N/A</f>
        <v>90.53709731543624</v>
      </c>
      <c r="I19" s="165">
        <f>#N/A</f>
        <v>-76039.89</v>
      </c>
      <c r="J19" s="165">
        <f>#N/A</f>
        <v>41.507776923076925</v>
      </c>
      <c r="K19" s="161">
        <v>44512.02</v>
      </c>
      <c r="L19" s="167">
        <f>#N/A</f>
        <v>9448.090000000004</v>
      </c>
      <c r="M19" s="213">
        <f>#N/A</f>
        <v>1.2122592953543785</v>
      </c>
      <c r="N19" s="164">
        <f>E19-травень!E19</f>
        <v>11200</v>
      </c>
      <c r="O19" s="168">
        <f>F19-травень!F19</f>
        <v>8965.020000000004</v>
      </c>
      <c r="P19" s="167">
        <f>#N/A</f>
        <v>-2234.979999999996</v>
      </c>
      <c r="Q19" s="165">
        <f>#N/A</f>
        <v>80.04482142857147</v>
      </c>
      <c r="R19" s="294">
        <v>8800</v>
      </c>
      <c r="S19" s="100">
        <f>#N/A</f>
        <v>165.02000000000407</v>
      </c>
    </row>
    <row r="20" spans="1:19" s="6" customFormat="1" ht="61.5">
      <c r="A20" s="8"/>
      <c r="B20" s="252" t="s">
        <v>205</v>
      </c>
      <c r="C20" s="123">
        <v>14040000</v>
      </c>
      <c r="D20" s="253">
        <v>76500</v>
      </c>
      <c r="E20" s="253">
        <v>35900</v>
      </c>
      <c r="F20" s="201">
        <v>31235.26</v>
      </c>
      <c r="G20" s="253">
        <f>#N/A</f>
        <v>-4664.740000000002</v>
      </c>
      <c r="H20" s="195">
        <f>#N/A</f>
        <v>87.00629526462396</v>
      </c>
      <c r="I20" s="254">
        <f>#N/A</f>
        <v>-45264.740000000005</v>
      </c>
      <c r="J20" s="254">
        <f>#N/A</f>
        <v>40.83040522875817</v>
      </c>
      <c r="K20" s="255">
        <v>44512.02</v>
      </c>
      <c r="L20" s="166">
        <f>#N/A</f>
        <v>-13276.759999999998</v>
      </c>
      <c r="M20" s="256">
        <f>#N/A</f>
        <v>0.7017264100797942</v>
      </c>
      <c r="N20" s="195">
        <f>E20-травень!E20</f>
        <v>6250</v>
      </c>
      <c r="O20" s="179">
        <f>F20-травень!F20</f>
        <v>5106.769999999997</v>
      </c>
      <c r="P20" s="166">
        <f>#N/A</f>
        <v>-1143.2300000000032</v>
      </c>
      <c r="Q20" s="254">
        <f>#N/A</f>
        <v>81.70831999999994</v>
      </c>
      <c r="R20" s="104">
        <v>4450</v>
      </c>
      <c r="S20" s="104">
        <f>#N/A</f>
        <v>656.7699999999968</v>
      </c>
    </row>
    <row r="21" spans="1:19" s="6" customFormat="1" ht="18">
      <c r="A21" s="8"/>
      <c r="B21" s="252" t="s">
        <v>170</v>
      </c>
      <c r="C21" s="123">
        <v>14021900</v>
      </c>
      <c r="D21" s="253">
        <v>10700</v>
      </c>
      <c r="E21" s="253">
        <v>4900</v>
      </c>
      <c r="F21" s="201">
        <v>4748.33</v>
      </c>
      <c r="G21" s="253">
        <f>#N/A</f>
        <v>-151.67000000000007</v>
      </c>
      <c r="H21" s="195"/>
      <c r="I21" s="254">
        <f>#N/A</f>
        <v>-5951.67</v>
      </c>
      <c r="J21" s="254">
        <f>#N/A</f>
        <v>44.376915887850465</v>
      </c>
      <c r="K21" s="255">
        <v>0</v>
      </c>
      <c r="L21" s="166">
        <f>#N/A</f>
        <v>4748.33</v>
      </c>
      <c r="M21" s="256"/>
      <c r="N21" s="195">
        <f>E21-травень!E21</f>
        <v>950</v>
      </c>
      <c r="O21" s="179">
        <f>F21-травень!F21</f>
        <v>654.6399999999999</v>
      </c>
      <c r="P21" s="166">
        <f>#N/A</f>
        <v>-295.3600000000001</v>
      </c>
      <c r="Q21" s="254"/>
      <c r="R21" s="104">
        <v>900</v>
      </c>
      <c r="S21" s="104">
        <f>#N/A</f>
        <v>-245.36000000000013</v>
      </c>
    </row>
    <row r="22" spans="1:19" s="6" customFormat="1" ht="18">
      <c r="A22" s="8"/>
      <c r="B22" s="252" t="s">
        <v>171</v>
      </c>
      <c r="C22" s="123">
        <v>14031900</v>
      </c>
      <c r="D22" s="253">
        <v>42800</v>
      </c>
      <c r="E22" s="253">
        <v>18800</v>
      </c>
      <c r="F22" s="201">
        <v>17976.52</v>
      </c>
      <c r="G22" s="253">
        <f>#N/A</f>
        <v>-823.4799999999996</v>
      </c>
      <c r="H22" s="195"/>
      <c r="I22" s="254">
        <f>#N/A</f>
        <v>-24823.48</v>
      </c>
      <c r="J22" s="254">
        <f>#N/A</f>
        <v>42.001214953271024</v>
      </c>
      <c r="K22" s="255">
        <v>0</v>
      </c>
      <c r="L22" s="166">
        <f>#N/A</f>
        <v>17976.52</v>
      </c>
      <c r="M22" s="256"/>
      <c r="N22" s="195">
        <f>E22-травень!E22</f>
        <v>4000</v>
      </c>
      <c r="O22" s="179">
        <f>F22-травень!F22</f>
        <v>3203.6000000000004</v>
      </c>
      <c r="P22" s="166">
        <f>#N/A</f>
        <v>-796.3999999999996</v>
      </c>
      <c r="Q22" s="254"/>
      <c r="R22" s="104">
        <v>3800</v>
      </c>
      <c r="S22" s="104">
        <f>#N/A</f>
        <v>-596.3999999999996</v>
      </c>
    </row>
    <row r="23" spans="1:19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199624.59999999998</v>
      </c>
      <c r="F23" s="223">
        <f>F24+F32+F33+F34+F35</f>
        <v>203804.12</v>
      </c>
      <c r="G23" s="150">
        <f>#N/A</f>
        <v>4179.520000000019</v>
      </c>
      <c r="H23" s="157">
        <f>#N/A</f>
        <v>102.09368985585945</v>
      </c>
      <c r="I23" s="158">
        <f>#N/A</f>
        <v>-197325.97999999998</v>
      </c>
      <c r="J23" s="158">
        <f>#N/A</f>
        <v>50.80748614975541</v>
      </c>
      <c r="K23" s="158">
        <v>159141.65</v>
      </c>
      <c r="L23" s="161">
        <f>#N/A</f>
        <v>44662.47</v>
      </c>
      <c r="M23" s="209">
        <f>#N/A</f>
        <v>1.2806460156722015</v>
      </c>
      <c r="N23" s="157">
        <f>E23-травень!E23</f>
        <v>22572</v>
      </c>
      <c r="O23" s="160">
        <f>F23-травень!F23</f>
        <v>25498.339999999997</v>
      </c>
      <c r="P23" s="161">
        <f>#N/A</f>
        <v>2926.3399999999965</v>
      </c>
      <c r="Q23" s="158">
        <f>#N/A</f>
        <v>112.96446925394292</v>
      </c>
      <c r="R23" s="288">
        <f>R24+R33+R35</f>
        <v>22714</v>
      </c>
      <c r="S23" s="294">
        <f>#N/A</f>
        <v>2784.3399999999965</v>
      </c>
    </row>
    <row r="24" spans="1:19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98672.9</v>
      </c>
      <c r="F24" s="223">
        <f>F25+F28+F29</f>
        <v>99393.67</v>
      </c>
      <c r="G24" s="150">
        <f>#N/A</f>
        <v>720.7700000000041</v>
      </c>
      <c r="H24" s="157">
        <f>#N/A</f>
        <v>100.73046398757917</v>
      </c>
      <c r="I24" s="158">
        <f>#N/A</f>
        <v>-107227.33</v>
      </c>
      <c r="J24" s="158">
        <f>#N/A</f>
        <v>48.10434079788599</v>
      </c>
      <c r="K24" s="158">
        <v>85994.38</v>
      </c>
      <c r="L24" s="161">
        <f>#N/A</f>
        <v>13399.289999999994</v>
      </c>
      <c r="M24" s="209">
        <f>#N/A</f>
        <v>1.1558158800609992</v>
      </c>
      <c r="N24" s="157">
        <f>E24-травень!E24</f>
        <v>15965</v>
      </c>
      <c r="O24" s="160">
        <f>F24-травень!F24</f>
        <v>17661.539999999994</v>
      </c>
      <c r="P24" s="161">
        <f>#N/A</f>
        <v>1696.5399999999936</v>
      </c>
      <c r="Q24" s="158">
        <f>#N/A</f>
        <v>110.62662073285307</v>
      </c>
      <c r="R24" s="293">
        <f>R25+R28+R29</f>
        <v>15007</v>
      </c>
      <c r="S24" s="293">
        <f>#N/A</f>
        <v>2654.5399999999936</v>
      </c>
    </row>
    <row r="25" spans="1:19" s="6" customFormat="1" ht="18">
      <c r="A25" s="8"/>
      <c r="B25" s="50" t="s">
        <v>74</v>
      </c>
      <c r="C25" s="123"/>
      <c r="D25" s="171">
        <v>22809</v>
      </c>
      <c r="E25" s="171">
        <v>10389.1</v>
      </c>
      <c r="F25" s="172">
        <v>11085.53</v>
      </c>
      <c r="G25" s="171">
        <f>#N/A</f>
        <v>696.4300000000003</v>
      </c>
      <c r="H25" s="173">
        <f>#N/A</f>
        <v>106.70346805786835</v>
      </c>
      <c r="I25" s="174">
        <f>#N/A</f>
        <v>-11723.47</v>
      </c>
      <c r="J25" s="174">
        <f>#N/A</f>
        <v>48.60156078740848</v>
      </c>
      <c r="K25" s="175">
        <v>9233.59</v>
      </c>
      <c r="L25" s="166">
        <f>#N/A</f>
        <v>1851.9400000000005</v>
      </c>
      <c r="M25" s="215">
        <f>#N/A</f>
        <v>1.200565543845893</v>
      </c>
      <c r="N25" s="195">
        <f>E25-травень!E25</f>
        <v>805</v>
      </c>
      <c r="O25" s="179">
        <f>F25-травень!F25</f>
        <v>949.4899999999998</v>
      </c>
      <c r="P25" s="177">
        <f>#N/A</f>
        <v>144.48999999999978</v>
      </c>
      <c r="Q25" s="174">
        <f>#N/A</f>
        <v>117.94906832298133</v>
      </c>
      <c r="R25" s="104">
        <v>800</v>
      </c>
      <c r="S25" s="104">
        <f>#N/A</f>
        <v>149.48999999999978</v>
      </c>
    </row>
    <row r="26" spans="1:19" s="6" customFormat="1" ht="18" customHeight="1">
      <c r="A26" s="8"/>
      <c r="B26" s="196" t="s">
        <v>109</v>
      </c>
      <c r="C26" s="197"/>
      <c r="D26" s="198">
        <v>1822.3</v>
      </c>
      <c r="E26" s="198">
        <v>710</v>
      </c>
      <c r="F26" s="163">
        <v>213.26</v>
      </c>
      <c r="G26" s="198">
        <f>#N/A</f>
        <v>-496.74</v>
      </c>
      <c r="H26" s="199">
        <f>#N/A</f>
        <v>30.036619718309858</v>
      </c>
      <c r="I26" s="200">
        <f>#N/A</f>
        <v>-1609.04</v>
      </c>
      <c r="J26" s="200">
        <f>#N/A</f>
        <v>11.702793173462108</v>
      </c>
      <c r="K26" s="200">
        <v>342.1</v>
      </c>
      <c r="L26" s="200">
        <f>#N/A</f>
        <v>-128.84000000000003</v>
      </c>
      <c r="M26" s="228">
        <f>#N/A</f>
        <v>0.6233849751534638</v>
      </c>
      <c r="N26" s="237">
        <f>E26-травень!E26</f>
        <v>105</v>
      </c>
      <c r="O26" s="237">
        <f>F26-травень!F26</f>
        <v>15.98999999999998</v>
      </c>
      <c r="P26" s="200">
        <f>#N/A</f>
        <v>-89.01000000000002</v>
      </c>
      <c r="Q26" s="200">
        <f>#N/A</f>
        <v>15.22857142857141</v>
      </c>
      <c r="R26" s="104"/>
      <c r="S26" s="104">
        <f>#N/A</f>
        <v>15.98999999999998</v>
      </c>
    </row>
    <row r="27" spans="1:19" s="6" customFormat="1" ht="18" customHeight="1">
      <c r="A27" s="8"/>
      <c r="B27" s="196" t="s">
        <v>110</v>
      </c>
      <c r="C27" s="197"/>
      <c r="D27" s="198">
        <v>20986.7</v>
      </c>
      <c r="E27" s="198">
        <v>9679.1</v>
      </c>
      <c r="F27" s="163">
        <v>10872.26</v>
      </c>
      <c r="G27" s="198">
        <f>#N/A</f>
        <v>1193.1599999999999</v>
      </c>
      <c r="H27" s="199">
        <f>#N/A</f>
        <v>112.32717917988242</v>
      </c>
      <c r="I27" s="200">
        <f>#N/A</f>
        <v>-10114.44</v>
      </c>
      <c r="J27" s="200">
        <f>#N/A</f>
        <v>51.80547680197458</v>
      </c>
      <c r="K27" s="200">
        <v>8891.49</v>
      </c>
      <c r="L27" s="200">
        <f>#N/A</f>
        <v>1980.7700000000004</v>
      </c>
      <c r="M27" s="228">
        <f>#N/A</f>
        <v>1.2227714365083917</v>
      </c>
      <c r="N27" s="237">
        <f>E27-травень!E27</f>
        <v>700</v>
      </c>
      <c r="O27" s="237">
        <f>F27-травень!F27</f>
        <v>933.4899999999998</v>
      </c>
      <c r="P27" s="200">
        <f>#N/A</f>
        <v>233.48999999999978</v>
      </c>
      <c r="Q27" s="200">
        <f>#N/A</f>
        <v>133.35571428571424</v>
      </c>
      <c r="R27" s="104"/>
      <c r="S27" s="104">
        <f>#N/A</f>
        <v>933.4899999999998</v>
      </c>
    </row>
    <row r="28" spans="1:19" s="6" customFormat="1" ht="18">
      <c r="A28" s="8"/>
      <c r="B28" s="50" t="s">
        <v>75</v>
      </c>
      <c r="C28" s="123"/>
      <c r="D28" s="171">
        <v>820</v>
      </c>
      <c r="E28" s="171">
        <v>133.8</v>
      </c>
      <c r="F28" s="172">
        <v>-89.23</v>
      </c>
      <c r="G28" s="171">
        <f>#N/A</f>
        <v>-223.03000000000003</v>
      </c>
      <c r="H28" s="173">
        <f>#N/A</f>
        <v>-66.68908819133034</v>
      </c>
      <c r="I28" s="174">
        <f>#N/A</f>
        <v>-909.23</v>
      </c>
      <c r="J28" s="174">
        <f>#N/A</f>
        <v>-10.88170731707317</v>
      </c>
      <c r="K28" s="174">
        <v>435.05</v>
      </c>
      <c r="L28" s="174">
        <f>#N/A</f>
        <v>-524.28</v>
      </c>
      <c r="M28" s="212">
        <f>#N/A</f>
        <v>-0.2051028617400299</v>
      </c>
      <c r="N28" s="195">
        <f>E28-травень!E28</f>
        <v>5</v>
      </c>
      <c r="O28" s="179">
        <f>F28-травень!F28</f>
        <v>-43.75000000000001</v>
      </c>
      <c r="P28" s="177">
        <f>#N/A</f>
        <v>-48.75000000000001</v>
      </c>
      <c r="Q28" s="174">
        <f>O28/N28*100</f>
        <v>-875.0000000000002</v>
      </c>
      <c r="R28" s="104">
        <v>-25</v>
      </c>
      <c r="S28" s="104">
        <f>#N/A</f>
        <v>-18.750000000000007</v>
      </c>
    </row>
    <row r="29" spans="1:19" s="6" customFormat="1" ht="18">
      <c r="A29" s="8"/>
      <c r="B29" s="50" t="s">
        <v>76</v>
      </c>
      <c r="C29" s="123"/>
      <c r="D29" s="171">
        <v>182992</v>
      </c>
      <c r="E29" s="171">
        <v>88150</v>
      </c>
      <c r="F29" s="172">
        <v>88397.37</v>
      </c>
      <c r="G29" s="171">
        <f>#N/A</f>
        <v>247.36999999999534</v>
      </c>
      <c r="H29" s="173">
        <f>#N/A</f>
        <v>100.28062393647193</v>
      </c>
      <c r="I29" s="174">
        <f>#N/A</f>
        <v>-94594.63</v>
      </c>
      <c r="J29" s="174">
        <f>#N/A</f>
        <v>48.3066855381656</v>
      </c>
      <c r="K29" s="175">
        <v>76325.75</v>
      </c>
      <c r="L29" s="175">
        <f>#N/A</f>
        <v>12071.619999999995</v>
      </c>
      <c r="M29" s="211">
        <f>#N/A</f>
        <v>1.1581592057726258</v>
      </c>
      <c r="N29" s="195">
        <f>E29-травень!E29</f>
        <v>15155</v>
      </c>
      <c r="O29" s="179">
        <f>F29-травень!F29</f>
        <v>16755.79999999999</v>
      </c>
      <c r="P29" s="177">
        <f>#N/A</f>
        <v>1600.7999999999884</v>
      </c>
      <c r="Q29" s="174">
        <f>O29/N29*100</f>
        <v>110.56285054437471</v>
      </c>
      <c r="R29" s="104">
        <v>14232</v>
      </c>
      <c r="S29" s="104">
        <f>#N/A</f>
        <v>2523.7999999999884</v>
      </c>
    </row>
    <row r="30" spans="1:19" s="6" customFormat="1" ht="18" customHeight="1">
      <c r="A30" s="8"/>
      <c r="B30" s="196" t="s">
        <v>111</v>
      </c>
      <c r="C30" s="197"/>
      <c r="D30" s="198">
        <v>57533</v>
      </c>
      <c r="E30" s="198">
        <v>26780</v>
      </c>
      <c r="F30" s="163">
        <v>30657.95</v>
      </c>
      <c r="G30" s="198">
        <f>#N/A</f>
        <v>3877.9500000000007</v>
      </c>
      <c r="H30" s="199">
        <f>#N/A</f>
        <v>114.48076923076924</v>
      </c>
      <c r="I30" s="200">
        <f>#N/A</f>
        <v>-26875.05</v>
      </c>
      <c r="J30" s="200">
        <f>#N/A</f>
        <v>53.28759146924374</v>
      </c>
      <c r="K30" s="200">
        <v>23736.85</v>
      </c>
      <c r="L30" s="200">
        <f>#N/A</f>
        <v>6921.100000000002</v>
      </c>
      <c r="M30" s="228">
        <f>#N/A</f>
        <v>1.291576177968012</v>
      </c>
      <c r="N30" s="237">
        <f>E30-травень!E30</f>
        <v>4700</v>
      </c>
      <c r="O30" s="237">
        <f>F30-травень!F30</f>
        <v>6506.709999999999</v>
      </c>
      <c r="P30" s="200">
        <f>#N/A</f>
        <v>1806.7099999999991</v>
      </c>
      <c r="Q30" s="200">
        <f>O30/N30*100</f>
        <v>138.4406382978723</v>
      </c>
      <c r="R30" s="107"/>
      <c r="S30" s="100">
        <f>#N/A</f>
        <v>6506.709999999999</v>
      </c>
    </row>
    <row r="31" spans="1:19" s="6" customFormat="1" ht="18" customHeight="1">
      <c r="A31" s="8"/>
      <c r="B31" s="196" t="s">
        <v>112</v>
      </c>
      <c r="C31" s="197"/>
      <c r="D31" s="198">
        <v>125459</v>
      </c>
      <c r="E31" s="198">
        <v>61370</v>
      </c>
      <c r="F31" s="163">
        <v>57739.42</v>
      </c>
      <c r="G31" s="198">
        <f>#N/A</f>
        <v>-3630.5800000000017</v>
      </c>
      <c r="H31" s="199">
        <f>#N/A</f>
        <v>94.08411275867688</v>
      </c>
      <c r="I31" s="200">
        <f>#N/A</f>
        <v>-67719.58</v>
      </c>
      <c r="J31" s="200">
        <f>#N/A</f>
        <v>46.022541228608546</v>
      </c>
      <c r="K31" s="200">
        <v>52588.89</v>
      </c>
      <c r="L31" s="200">
        <f>#N/A</f>
        <v>5150.529999999999</v>
      </c>
      <c r="M31" s="228">
        <f>#N/A</f>
        <v>1.0979395077553453</v>
      </c>
      <c r="N31" s="237">
        <f>E31-травень!E31</f>
        <v>10455</v>
      </c>
      <c r="O31" s="237">
        <f>F31-травень!F31</f>
        <v>10249.089999999997</v>
      </c>
      <c r="P31" s="200">
        <f>#N/A</f>
        <v>-205.9100000000035</v>
      </c>
      <c r="Q31" s="200">
        <f>O31/N31*100</f>
        <v>98.03051171688185</v>
      </c>
      <c r="R31" s="107"/>
      <c r="S31" s="100">
        <f>#N/A</f>
        <v>10249.089999999997</v>
      </c>
    </row>
    <row r="32" spans="1:19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>#N/A</f>
        <v>0.2</v>
      </c>
      <c r="H32" s="157"/>
      <c r="I32" s="158">
        <f>#N/A</f>
        <v>0.2</v>
      </c>
      <c r="J32" s="158"/>
      <c r="K32" s="167">
        <v>0</v>
      </c>
      <c r="L32" s="158">
        <f>#N/A</f>
        <v>0.2</v>
      </c>
      <c r="M32" s="210"/>
      <c r="N32" s="157">
        <f>E32-травень!E32</f>
        <v>0</v>
      </c>
      <c r="O32" s="160">
        <f>F32-травень!F32</f>
        <v>0</v>
      </c>
      <c r="P32" s="161">
        <f>#N/A</f>
        <v>0</v>
      </c>
      <c r="Q32" s="158"/>
      <c r="R32" s="293"/>
      <c r="S32" s="293">
        <f>#N/A</f>
        <v>0</v>
      </c>
    </row>
    <row r="33" spans="1:19" s="6" customFormat="1" ht="18">
      <c r="A33" s="8"/>
      <c r="B33" s="44" t="s">
        <v>82</v>
      </c>
      <c r="C33" s="114">
        <v>18030000</v>
      </c>
      <c r="D33" s="150">
        <v>115</v>
      </c>
      <c r="E33" s="150">
        <v>46</v>
      </c>
      <c r="F33" s="156">
        <v>79.23</v>
      </c>
      <c r="G33" s="150">
        <f>#N/A</f>
        <v>33.230000000000004</v>
      </c>
      <c r="H33" s="157">
        <f>#N/A</f>
        <v>172.23913043478262</v>
      </c>
      <c r="I33" s="158">
        <f>#N/A</f>
        <v>-35.769999999999996</v>
      </c>
      <c r="J33" s="158">
        <f>#N/A</f>
        <v>68.89565217391305</v>
      </c>
      <c r="K33" s="158">
        <v>55.62</v>
      </c>
      <c r="L33" s="158">
        <f>#N/A</f>
        <v>23.610000000000007</v>
      </c>
      <c r="M33" s="210">
        <f>F33/K33</f>
        <v>1.424487594390507</v>
      </c>
      <c r="N33" s="157">
        <f>E33-травень!E33</f>
        <v>7</v>
      </c>
      <c r="O33" s="160">
        <f>F33-травень!F33</f>
        <v>4</v>
      </c>
      <c r="P33" s="161">
        <f>#N/A</f>
        <v>-3</v>
      </c>
      <c r="Q33" s="158">
        <f>O33/N33*100</f>
        <v>57.14285714285714</v>
      </c>
      <c r="R33" s="293">
        <v>7</v>
      </c>
      <c r="S33" s="293">
        <f>#N/A</f>
        <v>-3</v>
      </c>
    </row>
    <row r="34" spans="1:19" s="6" customFormat="1" ht="30.75">
      <c r="A34" s="8"/>
      <c r="B34" s="225" t="s">
        <v>83</v>
      </c>
      <c r="C34" s="114">
        <v>18040000</v>
      </c>
      <c r="D34" s="150"/>
      <c r="E34" s="150"/>
      <c r="F34" s="156">
        <v>-31.32</v>
      </c>
      <c r="G34" s="150">
        <f>#N/A</f>
        <v>-31.32</v>
      </c>
      <c r="H34" s="157"/>
      <c r="I34" s="158">
        <f>#N/A</f>
        <v>-31.32</v>
      </c>
      <c r="J34" s="158"/>
      <c r="K34" s="158">
        <v>-125.04</v>
      </c>
      <c r="L34" s="158">
        <f>#N/A</f>
        <v>93.72</v>
      </c>
      <c r="M34" s="210">
        <f>F34/K34</f>
        <v>0.2504798464491363</v>
      </c>
      <c r="N34" s="157">
        <f>E34-травень!E34</f>
        <v>0</v>
      </c>
      <c r="O34" s="160">
        <f>F34-травень!F34</f>
        <v>-4.550000000000001</v>
      </c>
      <c r="P34" s="161">
        <f>#N/A</f>
        <v>-4.550000000000001</v>
      </c>
      <c r="Q34" s="158"/>
      <c r="R34" s="293"/>
      <c r="S34" s="293">
        <f>#N/A</f>
        <v>-4.550000000000001</v>
      </c>
    </row>
    <row r="35" spans="1:19" s="6" customFormat="1" ht="18">
      <c r="A35" s="8"/>
      <c r="B35" s="44" t="s">
        <v>84</v>
      </c>
      <c r="C35" s="114">
        <v>18050000</v>
      </c>
      <c r="D35" s="162">
        <v>194394.1</v>
      </c>
      <c r="E35" s="162">
        <v>100905.7</v>
      </c>
      <c r="F35" s="163">
        <v>104362.34</v>
      </c>
      <c r="G35" s="162">
        <f>#N/A</f>
        <v>3456.6399999999994</v>
      </c>
      <c r="H35" s="164">
        <f>#N/A</f>
        <v>103.42561421208119</v>
      </c>
      <c r="I35" s="165">
        <f>#N/A</f>
        <v>-90031.76000000001</v>
      </c>
      <c r="J35" s="165">
        <f>#N/A</f>
        <v>53.6859606335789</v>
      </c>
      <c r="K35" s="178">
        <v>73216.69</v>
      </c>
      <c r="L35" s="178">
        <f>F35-K35</f>
        <v>31145.649999999994</v>
      </c>
      <c r="M35" s="226">
        <f>F35/K35</f>
        <v>1.4253900306064096</v>
      </c>
      <c r="N35" s="157">
        <f>E35-травень!E35</f>
        <v>6600</v>
      </c>
      <c r="O35" s="160">
        <f>F35-травень!F35</f>
        <v>7837.349999999991</v>
      </c>
      <c r="P35" s="167">
        <f>#N/A</f>
        <v>1237.3499999999913</v>
      </c>
      <c r="Q35" s="165">
        <f>O35/N35*100</f>
        <v>118.74772727272713</v>
      </c>
      <c r="R35" s="293">
        <v>7700</v>
      </c>
      <c r="S35" s="293">
        <f>#N/A</f>
        <v>137.34999999999127</v>
      </c>
    </row>
    <row r="36" spans="1:19" s="6" customFormat="1" ht="15" customHeight="1" hidden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0.01</v>
      </c>
      <c r="G36" s="103">
        <f>#N/A</f>
        <v>0.01</v>
      </c>
      <c r="H36" s="105"/>
      <c r="I36" s="104">
        <f>#N/A</f>
        <v>0.01</v>
      </c>
      <c r="J36" s="104"/>
      <c r="K36" s="127">
        <v>0.18</v>
      </c>
      <c r="L36" s="127">
        <f>#N/A</f>
        <v>-0.16999999999999998</v>
      </c>
      <c r="M36" s="216">
        <f>#N/A</f>
        <v>0.05555555555555556</v>
      </c>
      <c r="N36" s="105">
        <f>E36-травень!E36</f>
        <v>0</v>
      </c>
      <c r="O36" s="144">
        <f>F36-травень!F36</f>
        <v>0</v>
      </c>
      <c r="P36" s="106">
        <f>#N/A</f>
        <v>0</v>
      </c>
      <c r="Q36" s="104"/>
      <c r="R36" s="107"/>
      <c r="S36" s="107"/>
    </row>
    <row r="37" spans="1:19" s="6" customFormat="1" ht="15" customHeight="1" hidden="1">
      <c r="A37" s="8"/>
      <c r="B37" s="50" t="s">
        <v>91</v>
      </c>
      <c r="C37" s="102">
        <v>18050300</v>
      </c>
      <c r="D37" s="103">
        <v>41000</v>
      </c>
      <c r="E37" s="103">
        <v>20020</v>
      </c>
      <c r="F37" s="140">
        <v>20288.06</v>
      </c>
      <c r="G37" s="103">
        <f>#N/A</f>
        <v>268.0600000000013</v>
      </c>
      <c r="H37" s="105">
        <f>#N/A</f>
        <v>101.33896103896105</v>
      </c>
      <c r="I37" s="104">
        <f>#N/A</f>
        <v>-20711.94</v>
      </c>
      <c r="J37" s="104">
        <f>#N/A</f>
        <v>49.483073170731714</v>
      </c>
      <c r="K37" s="127">
        <v>18313.06</v>
      </c>
      <c r="L37" s="127">
        <f>#N/A</f>
        <v>1975</v>
      </c>
      <c r="M37" s="216">
        <f>#N/A</f>
        <v>1.1078465313825214</v>
      </c>
      <c r="N37" s="105">
        <f>E37-травень!E37</f>
        <v>1100</v>
      </c>
      <c r="O37" s="144">
        <f>F37-травень!F37</f>
        <v>1026.3700000000026</v>
      </c>
      <c r="P37" s="106">
        <f>#N/A</f>
        <v>-73.62999999999738</v>
      </c>
      <c r="Q37" s="104">
        <f>O37/N37*100</f>
        <v>93.30636363636387</v>
      </c>
      <c r="R37" s="107"/>
      <c r="S37" s="107"/>
    </row>
    <row r="38" spans="1:19" s="6" customFormat="1" ht="15" customHeight="1" hidden="1">
      <c r="A38" s="8"/>
      <c r="B38" s="50" t="s">
        <v>92</v>
      </c>
      <c r="C38" s="102">
        <v>18050400</v>
      </c>
      <c r="D38" s="103">
        <v>153339.1</v>
      </c>
      <c r="E38" s="103">
        <v>80860</v>
      </c>
      <c r="F38" s="140">
        <v>84050.77</v>
      </c>
      <c r="G38" s="103">
        <f>#N/A</f>
        <v>3190.770000000004</v>
      </c>
      <c r="H38" s="105">
        <f>#N/A</f>
        <v>103.94604254266635</v>
      </c>
      <c r="I38" s="104">
        <f>#N/A</f>
        <v>-69288.33</v>
      </c>
      <c r="J38" s="104">
        <f>#N/A</f>
        <v>54.813658095032515</v>
      </c>
      <c r="K38" s="127">
        <v>54889.45</v>
      </c>
      <c r="L38" s="127">
        <f>#N/A</f>
        <v>29161.320000000007</v>
      </c>
      <c r="M38" s="216">
        <f>#N/A</f>
        <v>1.5312736782751515</v>
      </c>
      <c r="N38" s="105">
        <f>E38-травень!E38</f>
        <v>5500</v>
      </c>
      <c r="O38" s="144">
        <f>F38-травень!F38</f>
        <v>6810.580000000002</v>
      </c>
      <c r="P38" s="106">
        <f>#N/A</f>
        <v>1310.5800000000017</v>
      </c>
      <c r="Q38" s="104">
        <f>O38/N38*100</f>
        <v>123.8287272727273</v>
      </c>
      <c r="R38" s="107"/>
      <c r="S38" s="107"/>
    </row>
    <row r="39" spans="1:19" s="6" customFormat="1" ht="15" customHeight="1" hidden="1">
      <c r="A39" s="8"/>
      <c r="B39" s="50" t="s">
        <v>93</v>
      </c>
      <c r="C39" s="102">
        <v>18050500</v>
      </c>
      <c r="D39" s="103">
        <v>55</v>
      </c>
      <c r="E39" s="103">
        <v>25.7</v>
      </c>
      <c r="F39" s="140">
        <v>23.5</v>
      </c>
      <c r="G39" s="103">
        <f>#N/A</f>
        <v>-2.1999999999999993</v>
      </c>
      <c r="H39" s="105">
        <f>#N/A</f>
        <v>91.43968871595331</v>
      </c>
      <c r="I39" s="104">
        <f>#N/A</f>
        <v>-31.5</v>
      </c>
      <c r="J39" s="104">
        <f>#N/A</f>
        <v>42.72727272727273</v>
      </c>
      <c r="K39" s="127">
        <v>14.01</v>
      </c>
      <c r="L39" s="127">
        <f>#N/A</f>
        <v>9.49</v>
      </c>
      <c r="M39" s="216">
        <f>#N/A</f>
        <v>1.6773733047822983</v>
      </c>
      <c r="N39" s="105">
        <f>E39-травень!E39</f>
        <v>0</v>
      </c>
      <c r="O39" s="144">
        <f>F39-травень!F39</f>
        <v>0.41000000000000014</v>
      </c>
      <c r="P39" s="106">
        <f>#N/A</f>
        <v>0.41000000000000014</v>
      </c>
      <c r="Q39" s="104"/>
      <c r="R39" s="107"/>
      <c r="S39" s="107"/>
    </row>
    <row r="40" spans="1:19" s="6" customFormat="1" ht="15" customHeight="1">
      <c r="A40" s="8"/>
      <c r="B40" s="232" t="s">
        <v>224</v>
      </c>
      <c r="C40" s="43">
        <v>220102</v>
      </c>
      <c r="D40" s="34">
        <v>0</v>
      </c>
      <c r="E40" s="34">
        <v>0</v>
      </c>
      <c r="F40" s="290">
        <v>0.69</v>
      </c>
      <c r="G40" s="34">
        <f>#N/A</f>
        <v>0.69</v>
      </c>
      <c r="H40" s="30"/>
      <c r="I40" s="37">
        <f>#N/A</f>
        <v>0.69</v>
      </c>
      <c r="J40" s="37"/>
      <c r="K40" s="119">
        <v>0</v>
      </c>
      <c r="L40" s="119">
        <f>#N/A</f>
        <v>0.69</v>
      </c>
      <c r="M40" s="217" t="e">
        <f>#N/A</f>
        <v>#DIV/0!</v>
      </c>
      <c r="N40" s="157">
        <f>E40-травень!E40</f>
        <v>0</v>
      </c>
      <c r="O40" s="160">
        <f>F40-травень!F40</f>
        <v>0.33999999999999997</v>
      </c>
      <c r="P40" s="36">
        <f>#N/A</f>
        <v>0.33999999999999997</v>
      </c>
      <c r="Q40" s="37"/>
      <c r="R40" s="107"/>
      <c r="S40" s="107"/>
    </row>
    <row r="41" spans="1:19" s="6" customFormat="1" ht="17.25">
      <c r="A41" s="7"/>
      <c r="B41" s="16" t="s">
        <v>12</v>
      </c>
      <c r="C41" s="70">
        <v>20000000</v>
      </c>
      <c r="D41" s="151">
        <f>D42+D43+D44+D45+D46+D48+D50+D51+D52+D53+D54+D59+D60+D64+D47</f>
        <v>59025</v>
      </c>
      <c r="E41" s="151">
        <f>E42+E43+E44+E45+E46+E48+E50+E51+E52+E53+E54+E59+E60+E64+E47</f>
        <v>29916.1</v>
      </c>
      <c r="F41" s="287">
        <f>F42+F43+F44+F45+F46+F48+F50+F51+F52+F53+F54+F59+F60+F64+F47+F40</f>
        <v>34058.46000000001</v>
      </c>
      <c r="G41" s="151">
        <f>G42+G43+G44+G45+G46+G48+G50+G51+G52+G53+G54+G59+G60+G64</f>
        <v>4118.259999999999</v>
      </c>
      <c r="H41" s="152">
        <f>F41/E41*100</f>
        <v>113.84659096606846</v>
      </c>
      <c r="I41" s="153">
        <f>F41-D41</f>
        <v>-24966.539999999994</v>
      </c>
      <c r="J41" s="153">
        <f>F41/D41*100</f>
        <v>57.701753494282094</v>
      </c>
      <c r="K41" s="151">
        <v>29260.66</v>
      </c>
      <c r="L41" s="151">
        <f>#N/A</f>
        <v>4797.800000000007</v>
      </c>
      <c r="M41" s="205">
        <f>#N/A</f>
        <v>1.1639675933488858</v>
      </c>
      <c r="N41" s="151">
        <f>N42+N43+N44+N45+N46+N48+N50+N51+N52+N53+N54+N59+N60+N64+N47</f>
        <v>5118.8</v>
      </c>
      <c r="O41" s="151">
        <f>O42+O43+O44+O45+O46+O48+O50+O51+O52+O53+O54+O59+O60+O64+O47+O40</f>
        <v>6703.349999999997</v>
      </c>
      <c r="P41" s="151">
        <f>P42+P43+P44+P45+P46+P48+P50+P51+P52+P53+P54+P59+P60+P64</f>
        <v>1521.0099999999984</v>
      </c>
      <c r="Q41" s="151">
        <f>O41/N41*100</f>
        <v>130.9554973821989</v>
      </c>
      <c r="R41" s="15">
        <f>R42+R43+R44+R45+R46+R47+R48+R50+R51+R52+R53+R54+R59+R60+R64</f>
        <v>5598.5</v>
      </c>
      <c r="S41" s="15">
        <f>O41-R41</f>
        <v>1104.8499999999967</v>
      </c>
    </row>
    <row r="42" spans="1:19" s="6" customFormat="1" ht="46.5">
      <c r="A42" s="8"/>
      <c r="B42" s="44" t="s">
        <v>98</v>
      </c>
      <c r="C42" s="43">
        <v>21010301</v>
      </c>
      <c r="D42" s="150">
        <v>580</v>
      </c>
      <c r="E42" s="150">
        <v>260</v>
      </c>
      <c r="F42" s="156">
        <v>2204.77</v>
      </c>
      <c r="G42" s="162">
        <f>F42-E42</f>
        <v>1944.77</v>
      </c>
      <c r="H42" s="164">
        <f>#N/A</f>
        <v>847.9884615384615</v>
      </c>
      <c r="I42" s="165">
        <f>F42-D42</f>
        <v>1624.77</v>
      </c>
      <c r="J42" s="165">
        <f>F42/D42*100</f>
        <v>380.13275862068963</v>
      </c>
      <c r="K42" s="165">
        <v>240.17</v>
      </c>
      <c r="L42" s="165">
        <f>#N/A</f>
        <v>1964.6</v>
      </c>
      <c r="M42" s="218">
        <f>#N/A</f>
        <v>9.180039138943249</v>
      </c>
      <c r="N42" s="164">
        <f>E42-травень!E42</f>
        <v>0</v>
      </c>
      <c r="O42" s="168">
        <f>F42-травень!F42</f>
        <v>0</v>
      </c>
      <c r="P42" s="167">
        <f>O42-N42</f>
        <v>0</v>
      </c>
      <c r="Q42" s="165" t="e">
        <f>#N/A</f>
        <v>#DIV/0!</v>
      </c>
      <c r="R42" s="37">
        <v>0</v>
      </c>
      <c r="S42" s="37">
        <f>O42-R42</f>
        <v>0</v>
      </c>
    </row>
    <row r="43" spans="1:19" s="6" customFormat="1" ht="30.75">
      <c r="A43" s="8"/>
      <c r="B43" s="129" t="s">
        <v>77</v>
      </c>
      <c r="C43" s="42">
        <v>21050000</v>
      </c>
      <c r="D43" s="150">
        <v>30000</v>
      </c>
      <c r="E43" s="150">
        <v>13700</v>
      </c>
      <c r="F43" s="156">
        <v>13353.64</v>
      </c>
      <c r="G43" s="162">
        <f>#N/A</f>
        <v>-346.3600000000006</v>
      </c>
      <c r="H43" s="164">
        <f>#N/A</f>
        <v>97.47182481751825</v>
      </c>
      <c r="I43" s="165">
        <f>#N/A</f>
        <v>-16646.36</v>
      </c>
      <c r="J43" s="165">
        <f>F43/D43*100</f>
        <v>44.51213333333333</v>
      </c>
      <c r="K43" s="165">
        <v>13895.81</v>
      </c>
      <c r="L43" s="165">
        <f>#N/A</f>
        <v>-542.1700000000001</v>
      </c>
      <c r="M43" s="218">
        <f>#N/A</f>
        <v>0.9609832028503557</v>
      </c>
      <c r="N43" s="164">
        <f>E43-травень!E43</f>
        <v>2800</v>
      </c>
      <c r="O43" s="168">
        <f>F43-травень!F43</f>
        <v>2874.4799999999996</v>
      </c>
      <c r="P43" s="167">
        <f>#N/A</f>
        <v>74.47999999999956</v>
      </c>
      <c r="Q43" s="165">
        <f>#N/A</f>
        <v>102.65999999999997</v>
      </c>
      <c r="R43" s="37">
        <v>2874.5</v>
      </c>
      <c r="S43" s="37">
        <f>#N/A</f>
        <v>-0.020000000000436557</v>
      </c>
    </row>
    <row r="44" spans="1:19" s="6" customFormat="1" ht="18">
      <c r="A44" s="8"/>
      <c r="B44" s="129" t="s">
        <v>61</v>
      </c>
      <c r="C44" s="42">
        <v>21080500</v>
      </c>
      <c r="D44" s="150">
        <v>40</v>
      </c>
      <c r="E44" s="150">
        <v>22</v>
      </c>
      <c r="F44" s="156">
        <v>102.8</v>
      </c>
      <c r="G44" s="162">
        <f>#N/A</f>
        <v>80.8</v>
      </c>
      <c r="H44" s="164">
        <f>F44/E44*100</f>
        <v>467.2727272727273</v>
      </c>
      <c r="I44" s="165">
        <f>#N/A</f>
        <v>62.8</v>
      </c>
      <c r="J44" s="165">
        <f>#N/A</f>
        <v>257</v>
      </c>
      <c r="K44" s="165">
        <v>28.07</v>
      </c>
      <c r="L44" s="165">
        <f>#N/A</f>
        <v>74.72999999999999</v>
      </c>
      <c r="M44" s="218">
        <f>#N/A</f>
        <v>3.6622728892055574</v>
      </c>
      <c r="N44" s="164">
        <f>E44-травень!E44</f>
        <v>1</v>
      </c>
      <c r="O44" s="168">
        <f>F44-травень!F44</f>
        <v>10</v>
      </c>
      <c r="P44" s="167">
        <f>#N/A</f>
        <v>9</v>
      </c>
      <c r="Q44" s="165">
        <f>#N/A</f>
        <v>1000</v>
      </c>
      <c r="R44" s="37">
        <v>10</v>
      </c>
      <c r="S44" s="37">
        <f>#N/A</f>
        <v>0</v>
      </c>
    </row>
    <row r="45" spans="1:19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2.03</v>
      </c>
      <c r="G45" s="162">
        <f>#N/A</f>
        <v>2.03</v>
      </c>
      <c r="H45" s="164" t="e">
        <f>F45/E45*100</f>
        <v>#DIV/0!</v>
      </c>
      <c r="I45" s="165">
        <f>#N/A</f>
        <v>2.03</v>
      </c>
      <c r="J45" s="165" t="e">
        <f>#N/A</f>
        <v>#DIV/0!</v>
      </c>
      <c r="K45" s="165">
        <v>0.1</v>
      </c>
      <c r="L45" s="165">
        <f>#N/A</f>
        <v>1.9299999999999997</v>
      </c>
      <c r="M45" s="218">
        <f>#N/A</f>
        <v>20.299999999999997</v>
      </c>
      <c r="N45" s="164">
        <f>E45-травень!E45</f>
        <v>0</v>
      </c>
      <c r="O45" s="168">
        <f>F45-травень!F45</f>
        <v>0</v>
      </c>
      <c r="P45" s="167">
        <f>#N/A</f>
        <v>0</v>
      </c>
      <c r="Q45" s="165" t="e">
        <f>#N/A</f>
        <v>#DIV/0!</v>
      </c>
      <c r="R45" s="37">
        <v>0</v>
      </c>
      <c r="S45" s="37">
        <f>#N/A</f>
        <v>0</v>
      </c>
    </row>
    <row r="46" spans="1:19" s="6" customFormat="1" ht="18">
      <c r="A46" s="8"/>
      <c r="B46" s="130" t="s">
        <v>16</v>
      </c>
      <c r="C46" s="72">
        <v>21081100</v>
      </c>
      <c r="D46" s="150">
        <v>260</v>
      </c>
      <c r="E46" s="150">
        <v>128</v>
      </c>
      <c r="F46" s="156">
        <v>501.53</v>
      </c>
      <c r="G46" s="162">
        <f>#N/A</f>
        <v>373.53</v>
      </c>
      <c r="H46" s="164">
        <f>#N/A</f>
        <v>391.8203125</v>
      </c>
      <c r="I46" s="165">
        <f>#N/A</f>
        <v>241.52999999999997</v>
      </c>
      <c r="J46" s="165">
        <f>#N/A</f>
        <v>192.89615384615385</v>
      </c>
      <c r="K46" s="165">
        <v>60.97</v>
      </c>
      <c r="L46" s="165">
        <f>#N/A</f>
        <v>440.55999999999995</v>
      </c>
      <c r="M46" s="218">
        <f>#N/A</f>
        <v>8.225848778087585</v>
      </c>
      <c r="N46" s="164">
        <f>E46-травень!E46</f>
        <v>22</v>
      </c>
      <c r="O46" s="168">
        <f>F46-травень!F46</f>
        <v>59.26999999999998</v>
      </c>
      <c r="P46" s="167">
        <f>#N/A</f>
        <v>37.26999999999998</v>
      </c>
      <c r="Q46" s="165">
        <f>#N/A</f>
        <v>269.4090909090908</v>
      </c>
      <c r="R46" s="37">
        <v>70</v>
      </c>
      <c r="S46" s="37">
        <f>#N/A</f>
        <v>-10.730000000000018</v>
      </c>
    </row>
    <row r="47" spans="1:19" s="6" customFormat="1" ht="46.5">
      <c r="A47" s="8"/>
      <c r="B47" s="130" t="s">
        <v>80</v>
      </c>
      <c r="C47" s="72">
        <v>21081500</v>
      </c>
      <c r="D47" s="150">
        <v>97.5</v>
      </c>
      <c r="E47" s="150">
        <v>47.6</v>
      </c>
      <c r="F47" s="156">
        <v>71.01</v>
      </c>
      <c r="G47" s="162">
        <f>#N/A</f>
        <v>23.410000000000004</v>
      </c>
      <c r="H47" s="164">
        <f>#N/A</f>
        <v>149.18067226890756</v>
      </c>
      <c r="I47" s="165">
        <f>#N/A</f>
        <v>-26.489999999999995</v>
      </c>
      <c r="J47" s="165">
        <f>#N/A</f>
        <v>72.83076923076923</v>
      </c>
      <c r="K47" s="165">
        <v>13.6</v>
      </c>
      <c r="L47" s="165">
        <f>#N/A</f>
        <v>57.410000000000004</v>
      </c>
      <c r="M47" s="218"/>
      <c r="N47" s="164">
        <f>E47-травень!E47</f>
        <v>6.800000000000004</v>
      </c>
      <c r="O47" s="168">
        <f>F47-травень!F47</f>
        <v>70</v>
      </c>
      <c r="P47" s="167">
        <f>#N/A</f>
        <v>63.199999999999996</v>
      </c>
      <c r="Q47" s="165">
        <f>#N/A</f>
        <v>1029.4117647058818</v>
      </c>
      <c r="R47" s="37">
        <v>0</v>
      </c>
      <c r="S47" s="37">
        <f>#N/A</f>
        <v>70</v>
      </c>
    </row>
    <row r="48" spans="1:19" s="6" customFormat="1" ht="30.75">
      <c r="A48" s="8"/>
      <c r="B48" s="148" t="s">
        <v>105</v>
      </c>
      <c r="C48" s="49">
        <v>22010300</v>
      </c>
      <c r="D48" s="150">
        <v>730</v>
      </c>
      <c r="E48" s="150">
        <v>460</v>
      </c>
      <c r="F48" s="156">
        <v>628.92</v>
      </c>
      <c r="G48" s="162">
        <f>#N/A</f>
        <v>168.91999999999996</v>
      </c>
      <c r="H48" s="164">
        <f>#N/A</f>
        <v>136.72173913043477</v>
      </c>
      <c r="I48" s="165">
        <f>#N/A</f>
        <v>-101.08000000000004</v>
      </c>
      <c r="J48" s="165">
        <f>#N/A</f>
        <v>86.15342465753425</v>
      </c>
      <c r="K48" s="165">
        <v>168.08</v>
      </c>
      <c r="L48" s="165">
        <f>#N/A</f>
        <v>460.8399999999999</v>
      </c>
      <c r="M48" s="218"/>
      <c r="N48" s="164">
        <f>E48-травень!E48</f>
        <v>60</v>
      </c>
      <c r="O48" s="168">
        <f>F48-травень!F48</f>
        <v>123.78999999999996</v>
      </c>
      <c r="P48" s="167">
        <f>#N/A</f>
        <v>63.789999999999964</v>
      </c>
      <c r="Q48" s="165">
        <f>#N/A</f>
        <v>206.3166666666666</v>
      </c>
      <c r="R48" s="37">
        <v>100</v>
      </c>
      <c r="S48" s="37">
        <f>#N/A</f>
        <v>23.789999999999964</v>
      </c>
    </row>
    <row r="49" spans="1:19" s="6" customFormat="1" ht="18" hidden="1">
      <c r="A49" s="8"/>
      <c r="B49" s="130"/>
      <c r="C49" s="49"/>
      <c r="D49" s="150"/>
      <c r="E49" s="150"/>
      <c r="F49" s="156"/>
      <c r="G49" s="162"/>
      <c r="H49" s="164"/>
      <c r="I49" s="165"/>
      <c r="J49" s="165"/>
      <c r="K49" s="165"/>
      <c r="L49" s="165">
        <f>#N/A</f>
        <v>0</v>
      </c>
      <c r="M49" s="218" t="e">
        <f>#N/A</f>
        <v>#DIV/0!</v>
      </c>
      <c r="N49" s="164">
        <f>E49-травень!E49</f>
        <v>0</v>
      </c>
      <c r="O49" s="168">
        <f>F49-травень!F49</f>
        <v>0</v>
      </c>
      <c r="P49" s="167"/>
      <c r="Q49" s="165"/>
      <c r="R49" s="37"/>
      <c r="S49" s="37">
        <f>#N/A</f>
        <v>0</v>
      </c>
    </row>
    <row r="50" spans="1:19" s="6" customFormat="1" ht="18">
      <c r="A50" s="8"/>
      <c r="B50" s="33" t="s">
        <v>78</v>
      </c>
      <c r="C50" s="72">
        <v>22012500</v>
      </c>
      <c r="D50" s="150">
        <v>11000</v>
      </c>
      <c r="E50" s="150">
        <v>6040</v>
      </c>
      <c r="F50" s="156">
        <v>8364.31</v>
      </c>
      <c r="G50" s="162">
        <f>#N/A</f>
        <v>2324.3099999999995</v>
      </c>
      <c r="H50" s="164">
        <f>#N/A</f>
        <v>138.4819536423841</v>
      </c>
      <c r="I50" s="165">
        <f>#N/A</f>
        <v>-2635.6900000000005</v>
      </c>
      <c r="J50" s="165">
        <f>#N/A</f>
        <v>76.03918181818182</v>
      </c>
      <c r="K50" s="165">
        <v>5001.06</v>
      </c>
      <c r="L50" s="165">
        <f>#N/A</f>
        <v>3363.249999999999</v>
      </c>
      <c r="M50" s="218">
        <f>#N/A</f>
        <v>1.6725074284251735</v>
      </c>
      <c r="N50" s="164">
        <f>E50-травень!E50</f>
        <v>900</v>
      </c>
      <c r="O50" s="168">
        <f>F50-травень!F50</f>
        <v>2114.039999999999</v>
      </c>
      <c r="P50" s="167">
        <f>#N/A</f>
        <v>1214.039999999999</v>
      </c>
      <c r="Q50" s="165">
        <f>#N/A</f>
        <v>234.89333333333323</v>
      </c>
      <c r="R50" s="37">
        <v>1400</v>
      </c>
      <c r="S50" s="37">
        <f>#N/A</f>
        <v>714.039999999999</v>
      </c>
    </row>
    <row r="51" spans="1:19" s="6" customFormat="1" ht="31.5">
      <c r="A51" s="8"/>
      <c r="B51" s="149" t="s">
        <v>99</v>
      </c>
      <c r="C51" s="72">
        <v>22012600</v>
      </c>
      <c r="D51" s="150">
        <v>310</v>
      </c>
      <c r="E51" s="150">
        <v>150</v>
      </c>
      <c r="F51" s="156">
        <v>262.81</v>
      </c>
      <c r="G51" s="162">
        <f>#N/A</f>
        <v>112.81</v>
      </c>
      <c r="H51" s="164">
        <f>#N/A</f>
        <v>175.20666666666668</v>
      </c>
      <c r="I51" s="165">
        <f>#N/A</f>
        <v>-47.19</v>
      </c>
      <c r="J51" s="165">
        <f>#N/A</f>
        <v>84.77741935483871</v>
      </c>
      <c r="K51" s="165">
        <v>68.92</v>
      </c>
      <c r="L51" s="165">
        <f>#N/A</f>
        <v>193.89</v>
      </c>
      <c r="M51" s="218"/>
      <c r="N51" s="164">
        <f>E51-травень!E51</f>
        <v>25</v>
      </c>
      <c r="O51" s="168">
        <f>F51-травень!F51</f>
        <v>46.46000000000001</v>
      </c>
      <c r="P51" s="167">
        <f>#N/A</f>
        <v>21.460000000000008</v>
      </c>
      <c r="Q51" s="165">
        <f>#N/A</f>
        <v>185.84000000000003</v>
      </c>
      <c r="R51" s="37">
        <v>40</v>
      </c>
      <c r="S51" s="37">
        <f>#N/A</f>
        <v>6.460000000000008</v>
      </c>
    </row>
    <row r="52" spans="1:19" s="6" customFormat="1" ht="31.5">
      <c r="A52" s="8"/>
      <c r="B52" s="149" t="s">
        <v>106</v>
      </c>
      <c r="C52" s="72">
        <v>22012900</v>
      </c>
      <c r="D52" s="150">
        <v>20</v>
      </c>
      <c r="E52" s="150">
        <v>11</v>
      </c>
      <c r="F52" s="156">
        <v>18.72</v>
      </c>
      <c r="G52" s="162">
        <f>#N/A</f>
        <v>7.719999999999999</v>
      </c>
      <c r="H52" s="164">
        <f>#N/A</f>
        <v>170.18181818181816</v>
      </c>
      <c r="I52" s="165">
        <f>#N/A</f>
        <v>-1.2800000000000011</v>
      </c>
      <c r="J52" s="165">
        <f>#N/A</f>
        <v>93.6</v>
      </c>
      <c r="K52" s="165">
        <v>8.54</v>
      </c>
      <c r="L52" s="165">
        <f>#N/A</f>
        <v>10.18</v>
      </c>
      <c r="M52" s="218"/>
      <c r="N52" s="164">
        <f>E52-травень!E52</f>
        <v>4</v>
      </c>
      <c r="O52" s="168">
        <f>F52-травень!F52</f>
        <v>6.399999999999999</v>
      </c>
      <c r="P52" s="167">
        <f>#N/A</f>
        <v>2.3999999999999986</v>
      </c>
      <c r="Q52" s="165">
        <f>#N/A</f>
        <v>159.99999999999997</v>
      </c>
      <c r="R52" s="37">
        <v>4</v>
      </c>
      <c r="S52" s="37">
        <f>#N/A</f>
        <v>2.3999999999999986</v>
      </c>
    </row>
    <row r="53" spans="1:19" s="6" customFormat="1" ht="30.75">
      <c r="A53" s="8"/>
      <c r="B53" s="130" t="s">
        <v>14</v>
      </c>
      <c r="C53" s="49">
        <v>22080400</v>
      </c>
      <c r="D53" s="150">
        <v>7275</v>
      </c>
      <c r="E53" s="150">
        <v>3645</v>
      </c>
      <c r="F53" s="156">
        <v>3267.35</v>
      </c>
      <c r="G53" s="162">
        <f>#N/A</f>
        <v>-377.6500000000001</v>
      </c>
      <c r="H53" s="164">
        <f>#N/A</f>
        <v>89.63923182441701</v>
      </c>
      <c r="I53" s="165">
        <f>#N/A</f>
        <v>-4007.65</v>
      </c>
      <c r="J53" s="165">
        <f>#N/A</f>
        <v>44.912027491408935</v>
      </c>
      <c r="K53" s="165">
        <v>3928.05</v>
      </c>
      <c r="L53" s="165">
        <f>#N/A</f>
        <v>-660.7000000000003</v>
      </c>
      <c r="M53" s="218">
        <f>#N/A</f>
        <v>0.8317994933873041</v>
      </c>
      <c r="N53" s="164">
        <f>E53-травень!E53</f>
        <v>605</v>
      </c>
      <c r="O53" s="168">
        <f>F53-травень!F53</f>
        <v>546.0299999999997</v>
      </c>
      <c r="P53" s="167">
        <f>#N/A</f>
        <v>-58.970000000000255</v>
      </c>
      <c r="Q53" s="165">
        <f>#N/A</f>
        <v>90.25289256198343</v>
      </c>
      <c r="R53" s="37">
        <v>550</v>
      </c>
      <c r="S53" s="37">
        <f>#N/A</f>
        <v>-3.9700000000002547</v>
      </c>
    </row>
    <row r="54" spans="1:19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570</v>
      </c>
      <c r="F54" s="156">
        <v>388.42</v>
      </c>
      <c r="G54" s="162">
        <f>#N/A</f>
        <v>-181.57999999999998</v>
      </c>
      <c r="H54" s="164">
        <f>#N/A</f>
        <v>68.1438596491228</v>
      </c>
      <c r="I54" s="165">
        <f>#N/A</f>
        <v>-811.5799999999999</v>
      </c>
      <c r="J54" s="165">
        <f>#N/A</f>
        <v>32.36833333333333</v>
      </c>
      <c r="K54" s="165">
        <v>3094.63</v>
      </c>
      <c r="L54" s="165">
        <f>#N/A</f>
        <v>-2706.21</v>
      </c>
      <c r="M54" s="218">
        <f>#N/A</f>
        <v>0.12551419717381398</v>
      </c>
      <c r="N54" s="164">
        <f>E54-травень!E54</f>
        <v>95</v>
      </c>
      <c r="O54" s="168">
        <f>F54-травень!F54</f>
        <v>54.900000000000034</v>
      </c>
      <c r="P54" s="167">
        <f>#N/A</f>
        <v>-40.099999999999966</v>
      </c>
      <c r="Q54" s="165">
        <f>#N/A</f>
        <v>57.789473684210556</v>
      </c>
      <c r="R54" s="37">
        <v>50</v>
      </c>
      <c r="S54" s="37">
        <f>#N/A</f>
        <v>4.900000000000034</v>
      </c>
    </row>
    <row r="55" spans="1:19" s="6" customFormat="1" ht="15" hidden="1">
      <c r="A55" s="8"/>
      <c r="B55" s="50" t="s">
        <v>97</v>
      </c>
      <c r="C55" s="123">
        <v>22090100</v>
      </c>
      <c r="D55" s="103">
        <v>998</v>
      </c>
      <c r="E55" s="103">
        <v>480</v>
      </c>
      <c r="F55" s="140">
        <v>332.53</v>
      </c>
      <c r="G55" s="34">
        <f>#N/A</f>
        <v>-147.47000000000003</v>
      </c>
      <c r="H55" s="30">
        <f>#N/A</f>
        <v>69.27708333333332</v>
      </c>
      <c r="I55" s="104">
        <f>#N/A</f>
        <v>-665.47</v>
      </c>
      <c r="J55" s="104">
        <f>#N/A</f>
        <v>33.31963927855711</v>
      </c>
      <c r="K55" s="104">
        <v>420.67</v>
      </c>
      <c r="L55" s="104">
        <f>F55-K55</f>
        <v>-88.14000000000004</v>
      </c>
      <c r="M55" s="109">
        <f>#N/A</f>
        <v>0.7904770960610453</v>
      </c>
      <c r="N55" s="105">
        <f>E55-травень!E55</f>
        <v>80</v>
      </c>
      <c r="O55" s="144">
        <f>F55-травень!F55</f>
        <v>42.14999999999998</v>
      </c>
      <c r="P55" s="106">
        <f>#N/A</f>
        <v>-37.85000000000002</v>
      </c>
      <c r="Q55" s="119">
        <f>#N/A</f>
        <v>52.68749999999998</v>
      </c>
      <c r="R55" s="37"/>
      <c r="S55" s="37">
        <f>#N/A</f>
        <v>42.14999999999998</v>
      </c>
    </row>
    <row r="56" spans="1:19" s="6" customFormat="1" ht="15" hidden="1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0.15</v>
      </c>
      <c r="G56" s="34">
        <f>#N/A</f>
        <v>0.15</v>
      </c>
      <c r="H56" s="30" t="e">
        <f>#N/A</f>
        <v>#DIV/0!</v>
      </c>
      <c r="I56" s="104">
        <f>#N/A</f>
        <v>-0.85</v>
      </c>
      <c r="J56" s="104">
        <f>#N/A</f>
        <v>15</v>
      </c>
      <c r="K56" s="104">
        <v>0.24</v>
      </c>
      <c r="L56" s="104">
        <f>F56-K56</f>
        <v>-0.09</v>
      </c>
      <c r="M56" s="109">
        <f>#N/A</f>
        <v>0.625</v>
      </c>
      <c r="N56" s="105">
        <f>E56-травень!E56</f>
        <v>0</v>
      </c>
      <c r="O56" s="144">
        <f>F56-травень!F56</f>
        <v>0</v>
      </c>
      <c r="P56" s="106">
        <f>#N/A</f>
        <v>0</v>
      </c>
      <c r="Q56" s="119" t="e">
        <f>#N/A</f>
        <v>#DIV/0!</v>
      </c>
      <c r="R56" s="37"/>
      <c r="S56" s="37">
        <f>#N/A</f>
        <v>0</v>
      </c>
    </row>
    <row r="57" spans="1:19" s="6" customFormat="1" ht="15" hidden="1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34">
        <f>#N/A</f>
        <v>0</v>
      </c>
      <c r="H57" s="30"/>
      <c r="I57" s="104">
        <f>#N/A</f>
        <v>-1</v>
      </c>
      <c r="J57" s="104">
        <f>#N/A</f>
        <v>0</v>
      </c>
      <c r="K57" s="104">
        <v>0.02</v>
      </c>
      <c r="L57" s="104">
        <f>F57-K57</f>
        <v>-0.02</v>
      </c>
      <c r="M57" s="109">
        <f>#N/A</f>
        <v>0</v>
      </c>
      <c r="N57" s="105">
        <f>E57-травень!E57</f>
        <v>0</v>
      </c>
      <c r="O57" s="144">
        <f>F57-травень!F57</f>
        <v>0</v>
      </c>
      <c r="P57" s="106">
        <f>#N/A</f>
        <v>0</v>
      </c>
      <c r="Q57" s="119"/>
      <c r="R57" s="37"/>
      <c r="S57" s="37">
        <f>#N/A</f>
        <v>0</v>
      </c>
    </row>
    <row r="58" spans="1:19" s="6" customFormat="1" ht="15" hidden="1">
      <c r="A58" s="8"/>
      <c r="B58" s="50" t="s">
        <v>96</v>
      </c>
      <c r="C58" s="123">
        <v>22090400</v>
      </c>
      <c r="D58" s="103">
        <v>200</v>
      </c>
      <c r="E58" s="103">
        <v>90</v>
      </c>
      <c r="F58" s="140">
        <v>55.74</v>
      </c>
      <c r="G58" s="34">
        <f>#N/A</f>
        <v>-34.26</v>
      </c>
      <c r="H58" s="30">
        <f>#N/A</f>
        <v>61.93333333333334</v>
      </c>
      <c r="I58" s="104">
        <f>#N/A</f>
        <v>-144.26</v>
      </c>
      <c r="J58" s="104">
        <f>#N/A</f>
        <v>27.87</v>
      </c>
      <c r="K58" s="104">
        <v>2673.71</v>
      </c>
      <c r="L58" s="104">
        <f>F58-K58</f>
        <v>-2617.9700000000003</v>
      </c>
      <c r="M58" s="109">
        <f>#N/A</f>
        <v>0.020847436707795534</v>
      </c>
      <c r="N58" s="105">
        <f>E58-травень!E58</f>
        <v>15</v>
      </c>
      <c r="O58" s="144">
        <f>F58-травень!F58</f>
        <v>12.740000000000002</v>
      </c>
      <c r="P58" s="106">
        <f>#N/A</f>
        <v>-2.259999999999998</v>
      </c>
      <c r="Q58" s="119">
        <f>#N/A</f>
        <v>84.93333333333335</v>
      </c>
      <c r="R58" s="37"/>
      <c r="S58" s="37">
        <f>#N/A</f>
        <v>12.740000000000002</v>
      </c>
    </row>
    <row r="59" spans="1:19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62">
        <f>#N/A</f>
        <v>-0.45999999999999996</v>
      </c>
      <c r="H59" s="164"/>
      <c r="I59" s="165">
        <f>#N/A</f>
        <v>-0.45999999999999996</v>
      </c>
      <c r="J59" s="165">
        <f>#N/A</f>
        <v>81.60000000000001</v>
      </c>
      <c r="K59" s="165">
        <v>2.46</v>
      </c>
      <c r="L59" s="165">
        <f>F59-K59</f>
        <v>-0.41999999999999993</v>
      </c>
      <c r="M59" s="218">
        <f>#N/A</f>
        <v>0.8292682926829269</v>
      </c>
      <c r="N59" s="164">
        <f>E59-травень!E59</f>
        <v>0</v>
      </c>
      <c r="O59" s="168">
        <f>F59-травень!F59</f>
        <v>0</v>
      </c>
      <c r="P59" s="167">
        <f>#N/A</f>
        <v>0</v>
      </c>
      <c r="Q59" s="165"/>
      <c r="R59" s="37">
        <v>0</v>
      </c>
      <c r="S59" s="37">
        <f>#N/A</f>
        <v>0</v>
      </c>
    </row>
    <row r="60" spans="1:19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v>4860</v>
      </c>
      <c r="F60" s="156">
        <v>4834.78</v>
      </c>
      <c r="G60" s="162">
        <f>#N/A</f>
        <v>-25.220000000000255</v>
      </c>
      <c r="H60" s="164">
        <f>#N/A</f>
        <v>99.48106995884774</v>
      </c>
      <c r="I60" s="165">
        <f>#N/A</f>
        <v>-2515.2200000000003</v>
      </c>
      <c r="J60" s="165">
        <f>#N/A</f>
        <v>65.77931972789115</v>
      </c>
      <c r="K60" s="165">
        <v>2709.14</v>
      </c>
      <c r="L60" s="165">
        <f>#N/A</f>
        <v>2125.64</v>
      </c>
      <c r="M60" s="218">
        <f>#N/A</f>
        <v>1.7846179968550906</v>
      </c>
      <c r="N60" s="164">
        <f>E60-травень!E60</f>
        <v>600</v>
      </c>
      <c r="O60" s="168">
        <f>F60-травень!F60</f>
        <v>797.6399999999999</v>
      </c>
      <c r="P60" s="167">
        <f>#N/A</f>
        <v>197.63999999999987</v>
      </c>
      <c r="Q60" s="165">
        <f>#N/A</f>
        <v>132.93999999999997</v>
      </c>
      <c r="R60" s="37">
        <v>500</v>
      </c>
      <c r="S60" s="37">
        <f>#N/A</f>
        <v>297.6399999999999</v>
      </c>
    </row>
    <row r="61" spans="1:19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62">
        <f>#N/A</f>
        <v>0</v>
      </c>
      <c r="H61" s="164" t="e">
        <f>#N/A</f>
        <v>#DIV/0!</v>
      </c>
      <c r="I61" s="165">
        <f>#N/A</f>
        <v>0</v>
      </c>
      <c r="J61" s="165" t="e">
        <f>#N/A</f>
        <v>#DIV/0!</v>
      </c>
      <c r="K61" s="165"/>
      <c r="L61" s="165">
        <f>#N/A</f>
        <v>0</v>
      </c>
      <c r="M61" s="218" t="e">
        <f>#N/A</f>
        <v>#DIV/0!</v>
      </c>
      <c r="N61" s="164">
        <f>E61-травень!E61</f>
        <v>0</v>
      </c>
      <c r="O61" s="168">
        <f>F61-квітень!F61</f>
        <v>0</v>
      </c>
      <c r="P61" s="167">
        <f>#N/A</f>
        <v>0</v>
      </c>
      <c r="Q61" s="165" t="e">
        <f>#N/A</f>
        <v>#DIV/0!</v>
      </c>
      <c r="R61" s="37"/>
      <c r="S61" s="37">
        <f>#N/A</f>
        <v>0</v>
      </c>
    </row>
    <row r="62" spans="1:19" s="6" customFormat="1" ht="30.75">
      <c r="A62" s="8"/>
      <c r="B62" s="50" t="s">
        <v>42</v>
      </c>
      <c r="C62" s="61"/>
      <c r="D62" s="103"/>
      <c r="E62" s="103"/>
      <c r="F62" s="201">
        <f>1070.21</f>
        <v>1070.21</v>
      </c>
      <c r="G62" s="162"/>
      <c r="H62" s="164"/>
      <c r="I62" s="165"/>
      <c r="J62" s="165"/>
      <c r="K62" s="166">
        <v>592.26</v>
      </c>
      <c r="L62" s="165">
        <f>#N/A</f>
        <v>477.45000000000005</v>
      </c>
      <c r="M62" s="218">
        <f>#N/A</f>
        <v>1.8061493263093913</v>
      </c>
      <c r="N62" s="195"/>
      <c r="O62" s="179">
        <f>F62-травень!F62</f>
        <v>186.70000000000005</v>
      </c>
      <c r="P62" s="166"/>
      <c r="Q62" s="165"/>
      <c r="R62" s="37"/>
      <c r="S62" s="37">
        <f>#N/A</f>
        <v>186.12</v>
      </c>
    </row>
    <row r="63" spans="1:19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62">
        <f>#N/A</f>
        <v>0</v>
      </c>
      <c r="H63" s="164"/>
      <c r="I63" s="165">
        <f>#N/A</f>
        <v>0</v>
      </c>
      <c r="J63" s="165"/>
      <c r="K63" s="166"/>
      <c r="L63" s="165">
        <f>#N/A</f>
        <v>0</v>
      </c>
      <c r="M63" s="218" t="e">
        <f>#N/A</f>
        <v>#DIV/0!</v>
      </c>
      <c r="N63" s="164">
        <f>E63-лютий!E60</f>
        <v>0</v>
      </c>
      <c r="O63" s="168">
        <f>F63-лютий!F60</f>
        <v>0</v>
      </c>
      <c r="P63" s="167">
        <f>#N/A</f>
        <v>0</v>
      </c>
      <c r="Q63" s="165"/>
      <c r="R63" s="37"/>
      <c r="S63" s="37">
        <f>#N/A</f>
        <v>0</v>
      </c>
    </row>
    <row r="64" spans="1:19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20</v>
      </c>
      <c r="F64" s="156">
        <v>54.64</v>
      </c>
      <c r="G64" s="162">
        <f>#N/A</f>
        <v>34.64</v>
      </c>
      <c r="H64" s="164">
        <f>#N/A</f>
        <v>273.20000000000005</v>
      </c>
      <c r="I64" s="165">
        <f>#N/A</f>
        <v>-105.36</v>
      </c>
      <c r="J64" s="165">
        <f>#N/A</f>
        <v>34.150000000000006</v>
      </c>
      <c r="K64" s="165">
        <v>41.05</v>
      </c>
      <c r="L64" s="165">
        <f>#N/A</f>
        <v>13.590000000000003</v>
      </c>
      <c r="M64" s="218">
        <f>#N/A</f>
        <v>1.331059683313033</v>
      </c>
      <c r="N64" s="164">
        <f>E64-травень!E64</f>
        <v>0</v>
      </c>
      <c r="O64" s="168">
        <f>F64-травень!F64</f>
        <v>0</v>
      </c>
      <c r="P64" s="167">
        <f>#N/A</f>
        <v>0</v>
      </c>
      <c r="Q64" s="165"/>
      <c r="R64" s="37">
        <v>0</v>
      </c>
      <c r="S64" s="37">
        <f>#N/A</f>
        <v>0</v>
      </c>
    </row>
    <row r="65" spans="1:19" s="6" customFormat="1" ht="18">
      <c r="A65" s="8"/>
      <c r="B65" s="12" t="s">
        <v>44</v>
      </c>
      <c r="C65" s="43">
        <v>31010200</v>
      </c>
      <c r="D65" s="150">
        <v>15</v>
      </c>
      <c r="E65" s="150">
        <v>7.6</v>
      </c>
      <c r="F65" s="156">
        <v>25.38</v>
      </c>
      <c r="G65" s="162">
        <f>#N/A</f>
        <v>17.78</v>
      </c>
      <c r="H65" s="164">
        <f>#N/A</f>
        <v>333.94736842105266</v>
      </c>
      <c r="I65" s="165">
        <f>#N/A</f>
        <v>10.379999999999999</v>
      </c>
      <c r="J65" s="165">
        <f>#N/A</f>
        <v>169.2</v>
      </c>
      <c r="K65" s="165">
        <v>13.52</v>
      </c>
      <c r="L65" s="165">
        <f>#N/A</f>
        <v>11.86</v>
      </c>
      <c r="M65" s="218">
        <f>#N/A</f>
        <v>1.8772189349112427</v>
      </c>
      <c r="N65" s="164">
        <f>E65-травень!E65</f>
        <v>1.1999999999999993</v>
      </c>
      <c r="O65" s="168">
        <f>F65-травень!F65</f>
        <v>3.0299999999999976</v>
      </c>
      <c r="P65" s="167">
        <f>#N/A</f>
        <v>1.8299999999999983</v>
      </c>
      <c r="Q65" s="165">
        <f>#N/A</f>
        <v>252.49999999999994</v>
      </c>
      <c r="R65" s="37">
        <v>3.2</v>
      </c>
      <c r="S65" s="37">
        <f>#N/A</f>
        <v>-0.1700000000000026</v>
      </c>
    </row>
    <row r="66" spans="1:19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-5.25</v>
      </c>
      <c r="G66" s="162">
        <f>#N/A</f>
        <v>-5.25</v>
      </c>
      <c r="H66" s="164"/>
      <c r="I66" s="165">
        <f>#N/A</f>
        <v>-5.25</v>
      </c>
      <c r="J66" s="165"/>
      <c r="K66" s="165">
        <v>0.4</v>
      </c>
      <c r="L66" s="165">
        <f>#N/A</f>
        <v>-5.65</v>
      </c>
      <c r="M66" s="218">
        <f>#N/A</f>
        <v>-13.125</v>
      </c>
      <c r="N66" s="164">
        <f>E66-травень!E66</f>
        <v>0</v>
      </c>
      <c r="O66" s="168">
        <f>F66-травень!F66</f>
        <v>0</v>
      </c>
      <c r="P66" s="167">
        <f>#N/A</f>
        <v>0</v>
      </c>
      <c r="Q66" s="165"/>
      <c r="R66" s="37">
        <v>0</v>
      </c>
      <c r="S66" s="37">
        <f>#N/A</f>
        <v>0</v>
      </c>
    </row>
    <row r="67" spans="1:19" s="6" customFormat="1" ht="18">
      <c r="A67" s="9"/>
      <c r="B67" s="14" t="s">
        <v>184</v>
      </c>
      <c r="C67" s="62"/>
      <c r="D67" s="151">
        <f>D8+D41+D65+D66</f>
        <v>1357491.1</v>
      </c>
      <c r="E67" s="151">
        <f>E8+E41+E65+E66</f>
        <v>638799.2999999999</v>
      </c>
      <c r="F67" s="151">
        <f>F8+F41+F65+F66</f>
        <v>643548.71</v>
      </c>
      <c r="G67" s="151">
        <f>F67-E67</f>
        <v>4749.410000000033</v>
      </c>
      <c r="H67" s="152">
        <f>F67/E67*100</f>
        <v>100.74349016976068</v>
      </c>
      <c r="I67" s="153">
        <f>F67-D67</f>
        <v>-713942.3900000001</v>
      </c>
      <c r="J67" s="153">
        <f>F67/D67*100</f>
        <v>47.40721394048181</v>
      </c>
      <c r="K67" s="153">
        <v>494785.99</v>
      </c>
      <c r="L67" s="153">
        <f>F67-K67</f>
        <v>148762.71999999997</v>
      </c>
      <c r="M67" s="219">
        <f>F67/K67</f>
        <v>1.3006607361699953</v>
      </c>
      <c r="N67" s="151">
        <f>N8+N41+N65+N66</f>
        <v>109292</v>
      </c>
      <c r="O67" s="151">
        <f>O8+O41+O65+O66</f>
        <v>111080.53999999998</v>
      </c>
      <c r="P67" s="155">
        <f>O67-N67</f>
        <v>1788.539999999979</v>
      </c>
      <c r="Q67" s="153">
        <f>O67/N67*100</f>
        <v>101.63647842477033</v>
      </c>
      <c r="R67" s="27">
        <f>R8+R41+R65+R66</f>
        <v>108115.7</v>
      </c>
      <c r="S67" s="280">
        <f>O67-R67</f>
        <v>2964.839999999982</v>
      </c>
    </row>
    <row r="68" spans="1:19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47"/>
      <c r="O68" s="46"/>
      <c r="P68" s="79"/>
      <c r="Q68" s="35"/>
      <c r="R68" s="35"/>
      <c r="S68" s="35"/>
    </row>
    <row r="69" spans="1:19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0"/>
      <c r="O69" s="46"/>
      <c r="P69" s="59"/>
      <c r="Q69" s="35"/>
      <c r="R69" s="35"/>
      <c r="S69" s="35"/>
    </row>
    <row r="70" spans="1:19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0"/>
      <c r="O70" s="57"/>
      <c r="P70" s="79"/>
      <c r="Q70" s="35"/>
      <c r="R70" s="35"/>
      <c r="S70" s="35"/>
    </row>
    <row r="71" spans="2:19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1"/>
      <c r="O71" s="146"/>
      <c r="P71" s="36"/>
      <c r="Q71" s="38"/>
      <c r="R71" s="38"/>
      <c r="S71" s="38"/>
    </row>
    <row r="72" spans="2:19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>
        <v>0.01</v>
      </c>
      <c r="L72" s="167">
        <f>F72-K72</f>
        <v>0</v>
      </c>
      <c r="M72" s="209">
        <f>F72/K72</f>
        <v>1</v>
      </c>
      <c r="N72" s="162">
        <f>E72-квітень!E72</f>
        <v>0</v>
      </c>
      <c r="O72" s="182">
        <f>F72-квітень!F72</f>
        <v>0</v>
      </c>
      <c r="P72" s="167"/>
      <c r="Q72" s="167"/>
      <c r="R72" s="38"/>
      <c r="S72" s="38"/>
    </row>
    <row r="73" spans="2:19" ht="31.5">
      <c r="B73" s="23" t="s">
        <v>62</v>
      </c>
      <c r="C73" s="73">
        <v>18041500</v>
      </c>
      <c r="D73" s="180">
        <v>0</v>
      </c>
      <c r="E73" s="180"/>
      <c r="F73" s="181">
        <v>-2.64</v>
      </c>
      <c r="G73" s="162">
        <f>F73-E73</f>
        <v>-2.64</v>
      </c>
      <c r="H73" s="164"/>
      <c r="I73" s="167">
        <f>F73-D73</f>
        <v>-2.64</v>
      </c>
      <c r="J73" s="167"/>
      <c r="K73" s="167">
        <v>-2.3</v>
      </c>
      <c r="L73" s="167">
        <f>F73-K73</f>
        <v>-0.3400000000000003</v>
      </c>
      <c r="M73" s="209">
        <f>F73/K73</f>
        <v>1.1478260869565218</v>
      </c>
      <c r="N73" s="162">
        <f>E73-травень!E73</f>
        <v>0</v>
      </c>
      <c r="O73" s="182">
        <f>F73-травень!F73</f>
        <v>0</v>
      </c>
      <c r="P73" s="167">
        <f>O73-N73</f>
        <v>0</v>
      </c>
      <c r="Q73" s="167"/>
      <c r="R73" s="38"/>
      <c r="S73" s="38"/>
    </row>
    <row r="74" spans="2:19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-2.6300000000000003</v>
      </c>
      <c r="G74" s="185">
        <f>F74-E74</f>
        <v>-2.6300000000000003</v>
      </c>
      <c r="H74" s="186"/>
      <c r="I74" s="187">
        <f>F74-D74</f>
        <v>-2.6300000000000003</v>
      </c>
      <c r="J74" s="187"/>
      <c r="K74" s="187">
        <v>-2.29</v>
      </c>
      <c r="L74" s="187">
        <f>F74-K74</f>
        <v>-0.3400000000000003</v>
      </c>
      <c r="M74" s="214">
        <f>F74/K74</f>
        <v>1.1484716157205241</v>
      </c>
      <c r="N74" s="185">
        <f>SUM(N72:N73)</f>
        <v>0</v>
      </c>
      <c r="O74" s="188">
        <f>SUM(O72:O73)</f>
        <v>0</v>
      </c>
      <c r="P74" s="187">
        <f>O74-N74</f>
        <v>0</v>
      </c>
      <c r="Q74" s="187"/>
      <c r="R74" s="39"/>
      <c r="S74" s="39"/>
    </row>
    <row r="75" spans="2:19" ht="4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>#N/A</f>
        <v>35.57</v>
      </c>
      <c r="H75" s="186"/>
      <c r="I75" s="187">
        <f>#N/A</f>
        <v>35.57</v>
      </c>
      <c r="J75" s="187"/>
      <c r="K75" s="187">
        <v>0</v>
      </c>
      <c r="L75" s="187">
        <f>#N/A</f>
        <v>35.57</v>
      </c>
      <c r="M75" s="187"/>
      <c r="N75" s="186">
        <f>E75-травень!E75</f>
        <v>0</v>
      </c>
      <c r="O75" s="289">
        <f>F75-травень!F75</f>
        <v>0</v>
      </c>
      <c r="P75" s="187">
        <f>#N/A</f>
        <v>0</v>
      </c>
      <c r="Q75" s="187"/>
      <c r="R75" s="38"/>
      <c r="S75" s="38"/>
    </row>
    <row r="76" spans="2:19" ht="31.5">
      <c r="B76" s="23" t="s">
        <v>29</v>
      </c>
      <c r="C76" s="73">
        <v>31030000</v>
      </c>
      <c r="D76" s="180">
        <f>4000+100206.03</f>
        <v>104206.03</v>
      </c>
      <c r="E76" s="180">
        <v>9000</v>
      </c>
      <c r="F76" s="181">
        <v>3.72</v>
      </c>
      <c r="G76" s="162">
        <f>#N/A</f>
        <v>-8996.28</v>
      </c>
      <c r="H76" s="164">
        <f>F76/E76*100</f>
        <v>0.04133333333333334</v>
      </c>
      <c r="I76" s="167">
        <f>#N/A</f>
        <v>-104202.31</v>
      </c>
      <c r="J76" s="167">
        <f>F76/D76*100</f>
        <v>0.0035698509961467682</v>
      </c>
      <c r="K76" s="167">
        <v>1042.02</v>
      </c>
      <c r="L76" s="167">
        <f>#N/A</f>
        <v>-1038.3</v>
      </c>
      <c r="M76" s="209">
        <f>F76/K76</f>
        <v>0.0035699890597109462</v>
      </c>
      <c r="N76" s="164">
        <f>E76-травень!E76</f>
        <v>4500</v>
      </c>
      <c r="O76" s="168">
        <f>F76-травень!F76</f>
        <v>3.5900000000000003</v>
      </c>
      <c r="P76" s="167">
        <f>#N/A</f>
        <v>-4496.41</v>
      </c>
      <c r="Q76" s="167">
        <f>O76/N76*100</f>
        <v>0.0797777777777778</v>
      </c>
      <c r="R76" s="38">
        <v>0</v>
      </c>
      <c r="S76" s="38">
        <f>#N/A</f>
        <v>3.5900000000000003</v>
      </c>
    </row>
    <row r="77" spans="2:19" ht="18">
      <c r="B77" s="23" t="s">
        <v>30</v>
      </c>
      <c r="C77" s="73">
        <v>33010000</v>
      </c>
      <c r="D77" s="180">
        <f>8000+46000</f>
        <v>54000</v>
      </c>
      <c r="E77" s="180">
        <v>15630</v>
      </c>
      <c r="F77" s="181">
        <v>1617.15</v>
      </c>
      <c r="G77" s="162">
        <f>#N/A</f>
        <v>-14012.85</v>
      </c>
      <c r="H77" s="164">
        <f>F77/E77*100</f>
        <v>10.346449136276393</v>
      </c>
      <c r="I77" s="167">
        <f>#N/A</f>
        <v>-52382.85</v>
      </c>
      <c r="J77" s="167">
        <f>F77/D77*100</f>
        <v>2.9947222222222223</v>
      </c>
      <c r="K77" s="167">
        <v>936.04</v>
      </c>
      <c r="L77" s="167">
        <f>#N/A</f>
        <v>681.1100000000001</v>
      </c>
      <c r="M77" s="209">
        <f>F77/K77</f>
        <v>1.7276505277552243</v>
      </c>
      <c r="N77" s="164">
        <f>E77-травень!E77</f>
        <v>3600</v>
      </c>
      <c r="O77" s="168">
        <f>F77-травень!F77</f>
        <v>1312.25</v>
      </c>
      <c r="P77" s="167">
        <f>#N/A</f>
        <v>-2287.75</v>
      </c>
      <c r="Q77" s="167">
        <f>O77/N77*100</f>
        <v>36.45138888888889</v>
      </c>
      <c r="R77" s="38">
        <v>200</v>
      </c>
      <c r="S77" s="38">
        <f>#N/A</f>
        <v>1112.25</v>
      </c>
    </row>
    <row r="78" spans="2:19" ht="31.5">
      <c r="B78" s="23" t="s">
        <v>54</v>
      </c>
      <c r="C78" s="73">
        <v>24170000</v>
      </c>
      <c r="D78" s="180">
        <f>10000+69000</f>
        <v>79000</v>
      </c>
      <c r="E78" s="180">
        <v>16200</v>
      </c>
      <c r="F78" s="181">
        <v>6568.22</v>
      </c>
      <c r="G78" s="162">
        <f>#N/A</f>
        <v>-9631.779999999999</v>
      </c>
      <c r="H78" s="164">
        <f>F78/E78*100</f>
        <v>40.544567901234565</v>
      </c>
      <c r="I78" s="167">
        <f>#N/A</f>
        <v>-72431.78</v>
      </c>
      <c r="J78" s="167">
        <f>F78/D78*100</f>
        <v>8.31420253164557</v>
      </c>
      <c r="K78" s="167">
        <v>9374.51</v>
      </c>
      <c r="L78" s="167">
        <f>#N/A</f>
        <v>-2806.29</v>
      </c>
      <c r="M78" s="209">
        <f>F78/K78</f>
        <v>0.7006467538036655</v>
      </c>
      <c r="N78" s="164">
        <f>E78-травень!E78</f>
        <v>3850</v>
      </c>
      <c r="O78" s="168">
        <f>F78-травень!F78</f>
        <v>1982.8000000000002</v>
      </c>
      <c r="P78" s="167">
        <f>#N/A</f>
        <v>-1867.1999999999998</v>
      </c>
      <c r="Q78" s="167">
        <f>O78/N78*100</f>
        <v>51.5012987012987</v>
      </c>
      <c r="R78" s="38">
        <v>1500</v>
      </c>
      <c r="S78" s="38">
        <f>#N/A</f>
        <v>482.8000000000002</v>
      </c>
    </row>
    <row r="79" spans="2:19" ht="18">
      <c r="B79" s="23" t="s">
        <v>101</v>
      </c>
      <c r="C79" s="73">
        <v>24110700</v>
      </c>
      <c r="D79" s="180">
        <v>12</v>
      </c>
      <c r="E79" s="180">
        <v>6</v>
      </c>
      <c r="F79" s="181">
        <v>7</v>
      </c>
      <c r="G79" s="162">
        <f>#N/A</f>
        <v>1</v>
      </c>
      <c r="H79" s="164">
        <f>F79/E79*100</f>
        <v>116.66666666666667</v>
      </c>
      <c r="I79" s="167">
        <f>#N/A</f>
        <v>-5</v>
      </c>
      <c r="J79" s="167">
        <f>F79/D79*100</f>
        <v>58.333333333333336</v>
      </c>
      <c r="K79" s="167">
        <v>6</v>
      </c>
      <c r="L79" s="167">
        <f>#N/A</f>
        <v>1</v>
      </c>
      <c r="M79" s="209"/>
      <c r="N79" s="164">
        <f>E79-травень!E79</f>
        <v>1</v>
      </c>
      <c r="O79" s="168">
        <f>F79-травень!F79</f>
        <v>1</v>
      </c>
      <c r="P79" s="167">
        <f>#N/A</f>
        <v>0</v>
      </c>
      <c r="Q79" s="167">
        <f>O79/N79*100</f>
        <v>100</v>
      </c>
      <c r="R79" s="38">
        <v>1</v>
      </c>
      <c r="S79" s="38">
        <f>#N/A</f>
        <v>0</v>
      </c>
    </row>
    <row r="80" spans="2:19" ht="33">
      <c r="B80" s="28" t="s">
        <v>51</v>
      </c>
      <c r="C80" s="65"/>
      <c r="D80" s="183">
        <f>D76+D77+D78+D79</f>
        <v>237218.03</v>
      </c>
      <c r="E80" s="183">
        <f>E76+E77+E78+E79</f>
        <v>40836</v>
      </c>
      <c r="F80" s="184">
        <f>F76+F77+F78+F79</f>
        <v>8196.09</v>
      </c>
      <c r="G80" s="185">
        <f>#N/A</f>
        <v>-32639.91</v>
      </c>
      <c r="H80" s="186">
        <f>F80/E80*100</f>
        <v>20.070746400235087</v>
      </c>
      <c r="I80" s="187">
        <f>#N/A</f>
        <v>-229021.94</v>
      </c>
      <c r="J80" s="187">
        <f>F80/D80*100</f>
        <v>3.4550872882638815</v>
      </c>
      <c r="K80" s="187">
        <v>11358.57</v>
      </c>
      <c r="L80" s="187">
        <f>#N/A</f>
        <v>-3162.4799999999996</v>
      </c>
      <c r="M80" s="214">
        <f>F80/K80</f>
        <v>0.7215776281697432</v>
      </c>
      <c r="N80" s="185">
        <f>N76+N77+N78+N79</f>
        <v>11951</v>
      </c>
      <c r="O80" s="189">
        <f>O76+O77+O78+O79</f>
        <v>3299.6400000000003</v>
      </c>
      <c r="P80" s="187">
        <f>#N/A</f>
        <v>-8651.36</v>
      </c>
      <c r="Q80" s="187">
        <f>O80/N80*100</f>
        <v>27.609739770730485</v>
      </c>
      <c r="R80" s="39">
        <f>SUM(R76:R79)</f>
        <v>1701</v>
      </c>
      <c r="S80" s="39">
        <f>#N/A</f>
        <v>1598.6400000000003</v>
      </c>
    </row>
    <row r="81" spans="2:19" ht="46.5">
      <c r="B81" s="12" t="s">
        <v>40</v>
      </c>
      <c r="C81" s="75">
        <v>24062100</v>
      </c>
      <c r="D81" s="180">
        <v>40</v>
      </c>
      <c r="E81" s="180">
        <v>4</v>
      </c>
      <c r="F81" s="181">
        <v>35.31</v>
      </c>
      <c r="G81" s="162">
        <f>#N/A</f>
        <v>31.310000000000002</v>
      </c>
      <c r="H81" s="164"/>
      <c r="I81" s="167">
        <f>#N/A</f>
        <v>-4.689999999999998</v>
      </c>
      <c r="J81" s="167"/>
      <c r="K81" s="167">
        <v>5.19</v>
      </c>
      <c r="L81" s="167">
        <f>#N/A</f>
        <v>30.12</v>
      </c>
      <c r="M81" s="209">
        <f>F81/K81</f>
        <v>6.803468208092485</v>
      </c>
      <c r="N81" s="164">
        <f>E81-травень!E81</f>
        <v>0.5</v>
      </c>
      <c r="O81" s="168">
        <f>F81-травень!F81</f>
        <v>1.2100000000000009</v>
      </c>
      <c r="P81" s="167">
        <f>#N/A</f>
        <v>0.7100000000000009</v>
      </c>
      <c r="Q81" s="167"/>
      <c r="R81" s="38">
        <v>1</v>
      </c>
      <c r="S81" s="38">
        <f>#N/A</f>
        <v>0.21000000000000085</v>
      </c>
    </row>
    <row r="82" spans="2:19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>#N/A</f>
        <v>0</v>
      </c>
      <c r="H82" s="164"/>
      <c r="I82" s="167">
        <f>#N/A</f>
        <v>0</v>
      </c>
      <c r="J82" s="190"/>
      <c r="K82" s="167">
        <v>0</v>
      </c>
      <c r="L82" s="167">
        <f>#N/A</f>
        <v>0</v>
      </c>
      <c r="M82" s="209" t="e">
        <f>F82/K82</f>
        <v>#DIV/0!</v>
      </c>
      <c r="N82" s="164">
        <f>E82-травень!E82</f>
        <v>0</v>
      </c>
      <c r="O82" s="168">
        <f>F82-травень!F82</f>
        <v>0</v>
      </c>
      <c r="P82" s="167">
        <f>#N/A</f>
        <v>0</v>
      </c>
      <c r="Q82" s="190"/>
      <c r="R82" s="41"/>
      <c r="S82" s="38">
        <f>#N/A</f>
        <v>0</v>
      </c>
    </row>
    <row r="83" spans="2:19" ht="18">
      <c r="B83" s="23" t="s">
        <v>46</v>
      </c>
      <c r="C83" s="73">
        <v>19010000</v>
      </c>
      <c r="D83" s="180">
        <v>8360</v>
      </c>
      <c r="E83" s="180">
        <v>4507</v>
      </c>
      <c r="F83" s="181">
        <v>5104.01</v>
      </c>
      <c r="G83" s="162">
        <f>#N/A</f>
        <v>597.0100000000002</v>
      </c>
      <c r="H83" s="164">
        <f>F83/E83*100</f>
        <v>113.24628355890837</v>
      </c>
      <c r="I83" s="167">
        <f>#N/A</f>
        <v>-3255.99</v>
      </c>
      <c r="J83" s="167">
        <f>F83/D83*100</f>
        <v>61.05275119617225</v>
      </c>
      <c r="K83" s="167">
        <v>4890.44</v>
      </c>
      <c r="L83" s="167">
        <f>#N/A</f>
        <v>213.57000000000062</v>
      </c>
      <c r="M83" s="209"/>
      <c r="N83" s="164">
        <f>E83-травень!E83</f>
        <v>0.5</v>
      </c>
      <c r="O83" s="168">
        <f>F83-травень!F83</f>
        <v>0.7899999999999636</v>
      </c>
      <c r="P83" s="167">
        <f>O83-N83</f>
        <v>0.2899999999999636</v>
      </c>
      <c r="Q83" s="190">
        <f>O83/N83*100</f>
        <v>157.99999999999272</v>
      </c>
      <c r="R83" s="41">
        <v>2850</v>
      </c>
      <c r="S83" s="288">
        <f>#N/A</f>
        <v>-2849.21</v>
      </c>
    </row>
    <row r="84" spans="2:19" ht="31.5">
      <c r="B84" s="23" t="s">
        <v>50</v>
      </c>
      <c r="C84" s="73">
        <v>19050000</v>
      </c>
      <c r="D84" s="180">
        <v>0</v>
      </c>
      <c r="E84" s="180"/>
      <c r="F84" s="181">
        <v>0.05</v>
      </c>
      <c r="G84" s="162">
        <f>#N/A</f>
        <v>0.05</v>
      </c>
      <c r="H84" s="164"/>
      <c r="I84" s="167">
        <f>#N/A</f>
        <v>0.05</v>
      </c>
      <c r="J84" s="167"/>
      <c r="K84" s="167">
        <v>0.81</v>
      </c>
      <c r="L84" s="167">
        <f>#N/A</f>
        <v>-0.76</v>
      </c>
      <c r="M84" s="209">
        <f>#N/A</f>
        <v>0.06172839506172839</v>
      </c>
      <c r="N84" s="164">
        <f>E84-травень!E84</f>
        <v>0</v>
      </c>
      <c r="O84" s="168">
        <f>F84-травень!F84</f>
        <v>0</v>
      </c>
      <c r="P84" s="167">
        <f>#N/A</f>
        <v>0</v>
      </c>
      <c r="Q84" s="167"/>
      <c r="R84" s="38">
        <v>0</v>
      </c>
      <c r="S84" s="38">
        <f>#N/A</f>
        <v>0</v>
      </c>
    </row>
    <row r="85" spans="2:19" ht="30">
      <c r="B85" s="28" t="s">
        <v>47</v>
      </c>
      <c r="C85" s="73"/>
      <c r="D85" s="183">
        <f>D81+D84+D82+D83</f>
        <v>8400</v>
      </c>
      <c r="E85" s="183">
        <f>E81+E84+E82+E83</f>
        <v>4511</v>
      </c>
      <c r="F85" s="184">
        <f>F81+F84+F82+F83</f>
        <v>5139.37</v>
      </c>
      <c r="G85" s="183">
        <f>G81+G84+G82+G83</f>
        <v>628.3700000000002</v>
      </c>
      <c r="H85" s="186">
        <f>F85/E85*100</f>
        <v>113.92972733318554</v>
      </c>
      <c r="I85" s="187">
        <f>#N/A</f>
        <v>-3260.63</v>
      </c>
      <c r="J85" s="187">
        <f>F85/D85*100</f>
        <v>61.18297619047619</v>
      </c>
      <c r="K85" s="187">
        <v>4896.43</v>
      </c>
      <c r="L85" s="187">
        <f>#N/A</f>
        <v>242.9399999999996</v>
      </c>
      <c r="M85" s="220">
        <f>#N/A</f>
        <v>1.049615740447632</v>
      </c>
      <c r="N85" s="185">
        <f>N81+N84+N82+N83</f>
        <v>1</v>
      </c>
      <c r="O85" s="189">
        <f>O81+O84+O82+O83</f>
        <v>1.9999999999999645</v>
      </c>
      <c r="P85" s="185">
        <f>P81+P84+P82+P83</f>
        <v>0.9999999999999645</v>
      </c>
      <c r="Q85" s="187">
        <f>O85/N85*100</f>
        <v>199.99999999999645</v>
      </c>
      <c r="R85" s="39">
        <f>SUM(R81:R84)</f>
        <v>2851</v>
      </c>
      <c r="S85" s="39">
        <f>#N/A</f>
        <v>-2849</v>
      </c>
    </row>
    <row r="86" spans="2:19" ht="30.75">
      <c r="B86" s="12" t="s">
        <v>41</v>
      </c>
      <c r="C86" s="43">
        <v>24110900</v>
      </c>
      <c r="D86" s="180">
        <v>38</v>
      </c>
      <c r="E86" s="180">
        <v>23.3</v>
      </c>
      <c r="F86" s="181">
        <v>7.74</v>
      </c>
      <c r="G86" s="162">
        <f>#N/A</f>
        <v>-15.56</v>
      </c>
      <c r="H86" s="164">
        <f>F86/E86*100</f>
        <v>33.21888412017167</v>
      </c>
      <c r="I86" s="167">
        <f>#N/A</f>
        <v>-30.259999999999998</v>
      </c>
      <c r="J86" s="167">
        <f>F86/D86*100</f>
        <v>20.36842105263158</v>
      </c>
      <c r="K86" s="167">
        <v>18.25</v>
      </c>
      <c r="L86" s="167">
        <f>#N/A</f>
        <v>-10.51</v>
      </c>
      <c r="M86" s="209">
        <f>#N/A</f>
        <v>0.4241095890410959</v>
      </c>
      <c r="N86" s="164">
        <f>E86-травень!E86</f>
        <v>8</v>
      </c>
      <c r="O86" s="168">
        <f>F86-травень!F86</f>
        <v>0</v>
      </c>
      <c r="P86" s="167">
        <f>#N/A</f>
        <v>-8</v>
      </c>
      <c r="Q86" s="167">
        <f>O86/N86</f>
        <v>0</v>
      </c>
      <c r="R86" s="38">
        <v>1.2</v>
      </c>
      <c r="S86" s="38">
        <f>#N/A</f>
        <v>-1.2</v>
      </c>
    </row>
    <row r="87" spans="2:19" ht="18" hidden="1">
      <c r="B87" s="122"/>
      <c r="C87" s="43">
        <v>21110000</v>
      </c>
      <c r="D87" s="180">
        <v>0</v>
      </c>
      <c r="E87" s="180">
        <v>0</v>
      </c>
      <c r="F87" s="181"/>
      <c r="G87" s="162">
        <f>#N/A</f>
        <v>0</v>
      </c>
      <c r="H87" s="164"/>
      <c r="I87" s="167">
        <f>#N/A</f>
        <v>0</v>
      </c>
      <c r="J87" s="167"/>
      <c r="K87" s="167">
        <v>0</v>
      </c>
      <c r="L87" s="167">
        <f>#N/A</f>
        <v>0</v>
      </c>
      <c r="M87" s="167"/>
      <c r="N87" s="164">
        <f>E87-квітень!E87</f>
        <v>0</v>
      </c>
      <c r="O87" s="168">
        <f>F87-квітень!F87</f>
        <v>0</v>
      </c>
      <c r="P87" s="167">
        <f>#N/A</f>
        <v>0</v>
      </c>
      <c r="Q87" s="167"/>
      <c r="R87" s="38">
        <v>0</v>
      </c>
      <c r="S87" s="38">
        <f>#N/A</f>
        <v>0</v>
      </c>
    </row>
    <row r="88" spans="2:19" ht="23.25" customHeight="1">
      <c r="B88" s="14" t="s">
        <v>31</v>
      </c>
      <c r="C88" s="66"/>
      <c r="D88" s="191">
        <f>D74+D75+D80+D85+D86</f>
        <v>245656.03</v>
      </c>
      <c r="E88" s="191">
        <f>E74+E75+E80+E85+E86</f>
        <v>45370.3</v>
      </c>
      <c r="F88" s="191">
        <f>F74+F75+F80+F85+F86</f>
        <v>13376.140000000001</v>
      </c>
      <c r="G88" s="192">
        <f>F88-E88</f>
        <v>-31994.160000000003</v>
      </c>
      <c r="H88" s="193">
        <f>F88/E88*100</f>
        <v>29.48215021721258</v>
      </c>
      <c r="I88" s="194">
        <f>F88-D88</f>
        <v>-232279.88999999998</v>
      </c>
      <c r="J88" s="194">
        <f>F88/D88*100</f>
        <v>5.445068863157969</v>
      </c>
      <c r="K88" s="194">
        <v>16270.96</v>
      </c>
      <c r="L88" s="194">
        <f>F88-K88</f>
        <v>-2894.819999999998</v>
      </c>
      <c r="M88" s="221">
        <f>#N/A</f>
        <v>0.8220867115400691</v>
      </c>
      <c r="N88" s="191">
        <f>N74+N75+N80+N85+N86</f>
        <v>11960</v>
      </c>
      <c r="O88" s="191">
        <f>O74+O75+O80+O85+O86</f>
        <v>3301.6400000000003</v>
      </c>
      <c r="P88" s="194">
        <f>#N/A</f>
        <v>-8658.36</v>
      </c>
      <c r="Q88" s="194">
        <f>O88/N88*100</f>
        <v>27.605685618729098</v>
      </c>
      <c r="R88" s="27">
        <f>R80+R85+R86+R87</f>
        <v>4553.2</v>
      </c>
      <c r="S88" s="27">
        <f>S80+S85+S86+S87</f>
        <v>-1251.5599999999997</v>
      </c>
    </row>
    <row r="89" spans="2:19" ht="17.25">
      <c r="B89" s="21" t="s">
        <v>182</v>
      </c>
      <c r="C89" s="66"/>
      <c r="D89" s="191">
        <f>D67+D88</f>
        <v>1603147.1300000001</v>
      </c>
      <c r="E89" s="191">
        <f>E67+E88</f>
        <v>684169.6</v>
      </c>
      <c r="F89" s="191">
        <f>F67+F88</f>
        <v>656924.85</v>
      </c>
      <c r="G89" s="192">
        <f>F89-E89</f>
        <v>-27244.75</v>
      </c>
      <c r="H89" s="193">
        <f>F89/E89*100</f>
        <v>96.01783680537692</v>
      </c>
      <c r="I89" s="194">
        <f>F89-D89</f>
        <v>-946222.2800000001</v>
      </c>
      <c r="J89" s="194">
        <f>F89/D89*100</f>
        <v>40.97720275992385</v>
      </c>
      <c r="K89" s="194">
        <f>K67+K88</f>
        <v>511056.95</v>
      </c>
      <c r="L89" s="194">
        <f>F89-K89</f>
        <v>145867.89999999997</v>
      </c>
      <c r="M89" s="221">
        <f>#N/A</f>
        <v>1.2854239630240816</v>
      </c>
      <c r="N89" s="192">
        <f>N67+N88</f>
        <v>121252</v>
      </c>
      <c r="O89" s="192">
        <f>O67+O88</f>
        <v>114382.17999999998</v>
      </c>
      <c r="P89" s="194">
        <f>#N/A</f>
        <v>-6869.8200000000215</v>
      </c>
      <c r="Q89" s="194">
        <f>O89/N89*100</f>
        <v>94.33426252762838</v>
      </c>
      <c r="R89" s="27">
        <f>R67+R88</f>
        <v>112668.9</v>
      </c>
      <c r="S89" s="27">
        <f>S67+S88</f>
        <v>1713.2799999999822</v>
      </c>
    </row>
    <row r="90" spans="2:15" ht="15">
      <c r="B90" s="20" t="s">
        <v>34</v>
      </c>
      <c r="O90" s="25"/>
    </row>
    <row r="91" spans="2:19" ht="15">
      <c r="B91" s="4" t="s">
        <v>36</v>
      </c>
      <c r="C91" s="76">
        <v>0</v>
      </c>
      <c r="D91" s="4" t="s">
        <v>35</v>
      </c>
      <c r="O91" s="78"/>
      <c r="S91" s="29"/>
    </row>
    <row r="92" spans="2:19" ht="30.75">
      <c r="B92" s="52" t="s">
        <v>53</v>
      </c>
      <c r="C92" s="29">
        <f>IF(P67&lt;0,ABS(P67/C91),0)</f>
        <v>0</v>
      </c>
      <c r="D92" s="4" t="s">
        <v>24</v>
      </c>
      <c r="G92" s="424"/>
      <c r="H92" s="424"/>
      <c r="I92" s="424"/>
      <c r="J92" s="424"/>
      <c r="K92" s="84"/>
      <c r="L92" s="84"/>
      <c r="M92" s="84"/>
      <c r="Q92" s="25"/>
      <c r="R92" s="25"/>
      <c r="S92" s="25"/>
    </row>
    <row r="93" spans="2:16" ht="34.5" customHeight="1">
      <c r="B93" s="53" t="s">
        <v>55</v>
      </c>
      <c r="C93" s="81">
        <v>42916</v>
      </c>
      <c r="D93" s="29">
        <v>14988.4</v>
      </c>
      <c r="G93" s="4" t="s">
        <v>58</v>
      </c>
      <c r="O93" s="430"/>
      <c r="P93" s="430"/>
    </row>
    <row r="94" spans="3:16" ht="15">
      <c r="C94" s="81">
        <v>42913</v>
      </c>
      <c r="D94" s="29">
        <v>9872.9</v>
      </c>
      <c r="G94" s="427"/>
      <c r="H94" s="427"/>
      <c r="I94" s="118"/>
      <c r="J94" s="436"/>
      <c r="K94" s="436"/>
      <c r="L94" s="436"/>
      <c r="M94" s="436"/>
      <c r="N94" s="436"/>
      <c r="O94" s="430"/>
      <c r="P94" s="430"/>
    </row>
    <row r="95" spans="3:16" ht="15.75" customHeight="1">
      <c r="C95" s="81">
        <v>42912</v>
      </c>
      <c r="D95" s="29">
        <v>4876.1</v>
      </c>
      <c r="F95" s="68"/>
      <c r="G95" s="427"/>
      <c r="H95" s="427"/>
      <c r="I95" s="118"/>
      <c r="J95" s="437"/>
      <c r="K95" s="437"/>
      <c r="L95" s="437"/>
      <c r="M95" s="437"/>
      <c r="N95" s="437"/>
      <c r="O95" s="430"/>
      <c r="P95" s="430"/>
    </row>
    <row r="96" spans="3:14" ht="15.75" customHeight="1">
      <c r="C96" s="81"/>
      <c r="F96" s="68"/>
      <c r="G96" s="421"/>
      <c r="H96" s="421"/>
      <c r="I96" s="124"/>
      <c r="J96" s="436"/>
      <c r="K96" s="436"/>
      <c r="L96" s="436"/>
      <c r="M96" s="436"/>
      <c r="N96" s="436"/>
    </row>
    <row r="97" spans="2:14" ht="18" customHeight="1">
      <c r="B97" s="425" t="s">
        <v>56</v>
      </c>
      <c r="C97" s="426"/>
      <c r="D97" s="133">
        <v>225.52589</v>
      </c>
      <c r="E97" s="69"/>
      <c r="F97" s="125" t="s">
        <v>107</v>
      </c>
      <c r="G97" s="427"/>
      <c r="H97" s="427"/>
      <c r="I97" s="126"/>
      <c r="J97" s="436"/>
      <c r="K97" s="436"/>
      <c r="L97" s="436"/>
      <c r="M97" s="436"/>
      <c r="N97" s="436"/>
    </row>
    <row r="98" spans="6:13" ht="9.75" customHeight="1">
      <c r="F98" s="68"/>
      <c r="G98" s="427"/>
      <c r="H98" s="427"/>
      <c r="I98" s="68"/>
      <c r="J98" s="69"/>
      <c r="K98" s="69"/>
      <c r="L98" s="69"/>
      <c r="M98" s="69"/>
    </row>
    <row r="99" spans="2:13" ht="22.5" customHeight="1">
      <c r="B99" s="428" t="s">
        <v>59</v>
      </c>
      <c r="C99" s="429"/>
      <c r="D99" s="80">
        <v>0</v>
      </c>
      <c r="E99" s="51" t="s">
        <v>24</v>
      </c>
      <c r="F99" s="68"/>
      <c r="G99" s="427"/>
      <c r="H99" s="427"/>
      <c r="I99" s="68"/>
      <c r="J99" s="69"/>
      <c r="K99" s="69"/>
      <c r="L99" s="69"/>
      <c r="M99" s="69"/>
    </row>
    <row r="100" spans="2:16" ht="15">
      <c r="B100" s="285" t="s">
        <v>195</v>
      </c>
      <c r="D100" s="68">
        <f>D48+D51+D52</f>
        <v>1060</v>
      </c>
      <c r="E100" s="68">
        <f>E48+E51+E52</f>
        <v>621</v>
      </c>
      <c r="F100" s="203">
        <f>F48+F51+F52</f>
        <v>910.45</v>
      </c>
      <c r="G100" s="68">
        <f>G48+G51+G52</f>
        <v>289.44999999999993</v>
      </c>
      <c r="H100" s="69"/>
      <c r="I100" s="69"/>
      <c r="N100" s="29">
        <f>N48+N51+N52</f>
        <v>89</v>
      </c>
      <c r="O100" s="202">
        <f>O48+O51+O52</f>
        <v>176.64999999999998</v>
      </c>
      <c r="P100" s="29">
        <f>P48+P51+P52</f>
        <v>87.64999999999998</v>
      </c>
    </row>
    <row r="101" spans="4:16" ht="15">
      <c r="D101" s="78"/>
      <c r="I101" s="29"/>
      <c r="O101" s="420"/>
      <c r="P101" s="420"/>
    </row>
    <row r="102" spans="2:17" ht="15">
      <c r="B102" s="4" t="s">
        <v>119</v>
      </c>
      <c r="D102" s="29">
        <f>D9+D15+D18+D19+D23+D42+D45+D65+D59</f>
        <v>1299048.6</v>
      </c>
      <c r="E102" s="29">
        <f>E9+E15+E18+E19+E23+E42+E45+E65+E59</f>
        <v>609145.7</v>
      </c>
      <c r="F102" s="229">
        <f>F9+F15+F18+F19+F23+F42+F45+F65+F59</f>
        <v>611703.8500000001</v>
      </c>
      <c r="G102" s="29">
        <f>F102-E102</f>
        <v>2558.1500000001397</v>
      </c>
      <c r="H102" s="230">
        <f>F102/E102</f>
        <v>1.0041995699879358</v>
      </c>
      <c r="I102" s="29">
        <f>F102-D102</f>
        <v>-687344.75</v>
      </c>
      <c r="J102" s="230">
        <f>F102/D102</f>
        <v>0.47088603921362143</v>
      </c>
      <c r="N102" s="29">
        <f>N9+N15+N17+N18+N19+N23+N42+N45+N65+N59</f>
        <v>104173.2</v>
      </c>
      <c r="O102" s="229">
        <f>O9+O15+O17+O18+O19+O23+O42+O45+O65+O59</f>
        <v>104377.18999999999</v>
      </c>
      <c r="P102" s="29">
        <f>O102-N102</f>
        <v>203.9899999999907</v>
      </c>
      <c r="Q102" s="230">
        <f>O102/N102</f>
        <v>1.0019581811828762</v>
      </c>
    </row>
    <row r="103" spans="2:17" ht="15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29653.6</v>
      </c>
      <c r="F103" s="229">
        <f>F43+F44+F46+F48+F50+F51+F52+F53+F54+F60+F64+F47+F66</f>
        <v>31843.679999999993</v>
      </c>
      <c r="G103" s="29">
        <f>G43+G44+G46+G48+G50+G51+G52+G53+G54+G60+G64+G47</f>
        <v>2195.329999999998</v>
      </c>
      <c r="H103" s="230">
        <f>F103/E103</f>
        <v>1.0738554509401892</v>
      </c>
      <c r="I103" s="29">
        <f>I43+I44+I46+I48+I50+I51+I52+I53+I54+I60+I64+I47</f>
        <v>-26593.570000000003</v>
      </c>
      <c r="J103" s="230">
        <f>F103/D103</f>
        <v>0.544871968173846</v>
      </c>
      <c r="K103" s="29">
        <f>#N/A</f>
        <v>29017.919999999995</v>
      </c>
      <c r="L103" s="29">
        <f>#N/A</f>
        <v>2831.0099999999984</v>
      </c>
      <c r="M103" s="29">
        <f>#N/A</f>
        <v>18.594603669297914</v>
      </c>
      <c r="N103" s="29">
        <f>N43+N44+N46+N48+N50+N51+N52+N53+N54+N60+N64+N47+N66</f>
        <v>5118.8</v>
      </c>
      <c r="O103" s="229">
        <f>O43+O44+O46+O48+O50+O51+O52+O53+O54+O60+O64+O47+O66</f>
        <v>6703.009999999997</v>
      </c>
      <c r="P103" s="29">
        <f>#N/A</f>
        <v>1584.2099999999984</v>
      </c>
      <c r="Q103" s="230">
        <f>O103/N103</f>
        <v>1.3094885520043753</v>
      </c>
    </row>
    <row r="104" spans="2:17" ht="15">
      <c r="B104" s="4" t="s">
        <v>121</v>
      </c>
      <c r="D104" s="29">
        <f>SUM(D102:D103)</f>
        <v>1357491.1</v>
      </c>
      <c r="E104" s="29">
        <f>#N/A</f>
        <v>638799.2999999999</v>
      </c>
      <c r="F104" s="229">
        <f>#N/A</f>
        <v>643547.53</v>
      </c>
      <c r="G104" s="29">
        <f>#N/A</f>
        <v>4753.480000000138</v>
      </c>
      <c r="H104" s="230">
        <f>F104/E104</f>
        <v>1.0074330544820573</v>
      </c>
      <c r="I104" s="29">
        <f>#N/A</f>
        <v>-713938.32</v>
      </c>
      <c r="J104" s="230">
        <f>F104/D104</f>
        <v>0.4740712701541837</v>
      </c>
      <c r="K104" s="29">
        <f>#N/A</f>
        <v>29017.919999999995</v>
      </c>
      <c r="L104" s="29">
        <f>#N/A</f>
        <v>2831.0099999999984</v>
      </c>
      <c r="M104" s="29">
        <f>#N/A</f>
        <v>18.594603669297914</v>
      </c>
      <c r="N104" s="29">
        <f>#N/A</f>
        <v>109292</v>
      </c>
      <c r="O104" s="229">
        <f>#N/A</f>
        <v>111080.19999999998</v>
      </c>
      <c r="P104" s="29">
        <f>#N/A</f>
        <v>1788.1999999999891</v>
      </c>
      <c r="Q104" s="230">
        <f>O104/N104</f>
        <v>1.0163616733155216</v>
      </c>
    </row>
    <row r="105" spans="4:19" ht="15">
      <c r="D105" s="29">
        <f>D67-D104</f>
        <v>0</v>
      </c>
      <c r="E105" s="29">
        <f>#N/A</f>
        <v>0</v>
      </c>
      <c r="F105" s="29">
        <f>#N/A</f>
        <v>1.1799999999348074</v>
      </c>
      <c r="G105" s="29">
        <f>#N/A</f>
        <v>-4.07000000010521</v>
      </c>
      <c r="H105" s="230"/>
      <c r="I105" s="29">
        <f>#N/A</f>
        <v>-4.070000000181608</v>
      </c>
      <c r="J105" s="230"/>
      <c r="K105" s="29">
        <f>#N/A</f>
        <v>465768.07</v>
      </c>
      <c r="L105" s="29">
        <f>#N/A</f>
        <v>145931.70999999996</v>
      </c>
      <c r="M105" s="29">
        <f>#N/A</f>
        <v>-17.29394293312792</v>
      </c>
      <c r="N105" s="29">
        <f>#N/A</f>
        <v>0</v>
      </c>
      <c r="O105" s="29">
        <f>#N/A</f>
        <v>0.33999999999650754</v>
      </c>
      <c r="P105" s="29">
        <f>#N/A</f>
        <v>0.3399999999899137</v>
      </c>
      <c r="Q105" s="29"/>
      <c r="R105" s="29">
        <f>#N/A</f>
        <v>108115.7</v>
      </c>
      <c r="S105" s="29"/>
    </row>
    <row r="106" ht="15">
      <c r="E106" s="4" t="s">
        <v>58</v>
      </c>
    </row>
    <row r="107" spans="2:5" ht="15">
      <c r="B107" s="245" t="s">
        <v>165</v>
      </c>
      <c r="E107" s="29">
        <f>E67-E9-E20-E29-E35</f>
        <v>64603.59999999993</v>
      </c>
    </row>
    <row r="108" spans="2:5" ht="15">
      <c r="B108" s="245" t="s">
        <v>166</v>
      </c>
      <c r="E108" s="29">
        <f>E88-E83-E76-E77</f>
        <v>16233.300000000003</v>
      </c>
    </row>
    <row r="110" spans="2:19" ht="18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268"/>
      <c r="N110" s="266"/>
      <c r="O110" s="266"/>
      <c r="P110" s="267"/>
      <c r="Q110" s="267"/>
      <c r="R110" s="270"/>
      <c r="S110" s="270"/>
    </row>
    <row r="111" spans="2:19" ht="23.25" customHeight="1">
      <c r="B111" s="14" t="s">
        <v>31</v>
      </c>
      <c r="C111" s="66"/>
      <c r="D111" s="191">
        <f>D88+D110</f>
        <v>318064.25</v>
      </c>
      <c r="E111" s="191">
        <f>E88+E110</f>
        <v>63472.36</v>
      </c>
      <c r="F111" s="191">
        <f>F88+F110</f>
        <v>33630.46</v>
      </c>
      <c r="G111" s="192">
        <f>F111-E111</f>
        <v>-29841.9</v>
      </c>
      <c r="H111" s="193">
        <f>F111/E111*100</f>
        <v>52.98441715417545</v>
      </c>
      <c r="I111" s="194">
        <f>F111-D111</f>
        <v>-284433.79</v>
      </c>
      <c r="J111" s="194">
        <f>F111/D111*100</f>
        <v>10.573480043733301</v>
      </c>
      <c r="K111" s="194">
        <v>3039.87</v>
      </c>
      <c r="L111" s="194">
        <f>F111-K111</f>
        <v>30590.59</v>
      </c>
      <c r="M111" s="269">
        <f>F111/K111</f>
        <v>11.063124409925425</v>
      </c>
      <c r="N111" s="272"/>
      <c r="O111" s="272"/>
      <c r="P111" s="273"/>
      <c r="Q111" s="273"/>
      <c r="R111" s="271">
        <f>O111-8104.96</f>
        <v>-8104.96</v>
      </c>
      <c r="S111" s="271"/>
    </row>
    <row r="112" spans="2:19" ht="17.25">
      <c r="B112" s="21" t="s">
        <v>181</v>
      </c>
      <c r="C112" s="66"/>
      <c r="D112" s="191">
        <f>D111+D67</f>
        <v>1675555.35</v>
      </c>
      <c r="E112" s="191">
        <f>E111+E67</f>
        <v>702271.6599999999</v>
      </c>
      <c r="F112" s="191">
        <f>F111+F67</f>
        <v>677179.1699999999</v>
      </c>
      <c r="G112" s="192">
        <f>F112-E112</f>
        <v>-25092.48999999999</v>
      </c>
      <c r="H112" s="193">
        <f>F112/E112*100</f>
        <v>96.42695392264584</v>
      </c>
      <c r="I112" s="194">
        <f>F112-D112</f>
        <v>-998376.1800000002</v>
      </c>
      <c r="J112" s="194">
        <f>F112/D112*100</f>
        <v>40.41520741167995</v>
      </c>
      <c r="K112" s="194">
        <f>K89+K111</f>
        <v>514096.82</v>
      </c>
      <c r="L112" s="194">
        <f>F112-K112</f>
        <v>163082.34999999992</v>
      </c>
      <c r="M112" s="269">
        <f>F112/K112</f>
        <v>1.3172210829858857</v>
      </c>
      <c r="N112" s="274"/>
      <c r="O112" s="274"/>
      <c r="P112" s="273"/>
      <c r="Q112" s="273"/>
      <c r="R112" s="271">
        <f>O112-42872.96</f>
        <v>-42872.96</v>
      </c>
      <c r="S112" s="271"/>
    </row>
    <row r="113" spans="2:17" ht="15">
      <c r="B113" s="241" t="s">
        <v>183</v>
      </c>
      <c r="C113" s="239">
        <v>40000000</v>
      </c>
      <c r="D113" s="244">
        <f>#N/A</f>
        <v>1222868.6900000002</v>
      </c>
      <c r="E113" s="244">
        <f>#N/A</f>
        <v>550655.6</v>
      </c>
      <c r="F113" s="244">
        <f>#N/A</f>
        <v>545829.08</v>
      </c>
      <c r="G113" s="244">
        <f>#N/A</f>
        <v>-4826.520000000019</v>
      </c>
      <c r="H113" s="244">
        <f>F113/E113*100</f>
        <v>99.12349570221387</v>
      </c>
      <c r="I113" s="36">
        <f>#N/A</f>
        <v>-677039.6100000002</v>
      </c>
      <c r="J113" s="36">
        <f>F113/D113*100</f>
        <v>44.63513412875097</v>
      </c>
      <c r="Q113" s="89"/>
    </row>
    <row r="114" spans="2:17" ht="15" customHeight="1">
      <c r="B114" s="240" t="s">
        <v>154</v>
      </c>
      <c r="C114" s="239">
        <v>41000000</v>
      </c>
      <c r="D114" s="244">
        <f>#N/A</f>
        <v>1222868.6900000002</v>
      </c>
      <c r="E114" s="244">
        <f>#N/A</f>
        <v>550655.6</v>
      </c>
      <c r="F114" s="244">
        <f>#N/A</f>
        <v>545829.08</v>
      </c>
      <c r="G114" s="244">
        <f>#N/A</f>
        <v>-4826.520000000019</v>
      </c>
      <c r="H114" s="244">
        <f>#N/A</f>
        <v>99.12349570221387</v>
      </c>
      <c r="I114" s="36">
        <f>#N/A</f>
        <v>-677039.6100000002</v>
      </c>
      <c r="J114" s="36">
        <f>#N/A</f>
        <v>44.63513412875097</v>
      </c>
      <c r="Q114" s="89"/>
    </row>
    <row r="115" spans="2:17" ht="15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>
        <f>#N/A</f>
        <v>-4826.520000000019</v>
      </c>
      <c r="H115" s="244">
        <f>#N/A</f>
        <v>99.12349570221387</v>
      </c>
      <c r="I115" s="36">
        <f>#N/A</f>
        <v>-677039.6100000002</v>
      </c>
      <c r="J115" s="36">
        <f>#N/A</f>
        <v>44.63513412875097</v>
      </c>
      <c r="Q115" s="89"/>
    </row>
    <row r="116" spans="2:17" ht="63.75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>
        <f>#N/A</f>
        <v>-3734.029999999999</v>
      </c>
      <c r="H116" s="244">
        <f>#N/A</f>
        <v>95.0108160470321</v>
      </c>
      <c r="I116" s="36">
        <f>#N/A</f>
        <v>-240704.93000000002</v>
      </c>
      <c r="J116" s="36">
        <f>#N/A</f>
        <v>22.80481531582671</v>
      </c>
      <c r="Q116" s="89"/>
    </row>
    <row r="117" spans="2:17" ht="63.75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>
        <f>#N/A</f>
        <v>-707.6699999999837</v>
      </c>
      <c r="H117" s="244">
        <f>#N/A</f>
        <v>99.80061079304002</v>
      </c>
      <c r="I117" s="36">
        <f>#N/A</f>
        <v>-54436.96000000002</v>
      </c>
      <c r="J117" s="36">
        <f>#N/A</f>
        <v>86.67877161822808</v>
      </c>
      <c r="Q117" s="89"/>
    </row>
    <row r="118" spans="2:17" ht="51.75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>
        <f>#N/A</f>
        <v>-16.159999999999997</v>
      </c>
      <c r="H118" s="244">
        <f>#N/A</f>
        <v>71.64912280701755</v>
      </c>
      <c r="I118" s="36">
        <f>#N/A</f>
        <v>-186.85999999999999</v>
      </c>
      <c r="J118" s="36">
        <f>#N/A</f>
        <v>17.9358805445762</v>
      </c>
      <c r="Q118" s="89"/>
    </row>
    <row r="119" spans="2:17" ht="26.25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>
        <f>#N/A</f>
        <v>0</v>
      </c>
      <c r="H119" s="244">
        <f>#N/A</f>
        <v>100</v>
      </c>
      <c r="I119" s="36">
        <f>#N/A</f>
        <v>-187142.9</v>
      </c>
      <c r="J119" s="36">
        <f>#N/A</f>
        <v>23.092327639525013</v>
      </c>
      <c r="Q119" s="89"/>
    </row>
    <row r="120" spans="2:17" ht="26.25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>
        <f>#N/A</f>
        <v>0</v>
      </c>
      <c r="H120" s="244">
        <f>#N/A</f>
        <v>100</v>
      </c>
      <c r="I120" s="36">
        <f>#N/A</f>
        <v>-178707.6</v>
      </c>
      <c r="J120" s="36">
        <f>#N/A</f>
        <v>24.991406068008537</v>
      </c>
      <c r="Q120" s="89"/>
    </row>
    <row r="121" spans="2:17" ht="15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>
        <f>#N/A</f>
        <v>-460.1399999999999</v>
      </c>
      <c r="H121" s="244">
        <f>#N/A</f>
        <v>89.02806292160552</v>
      </c>
      <c r="I121" s="36">
        <f>#N/A</f>
        <v>-12505.44</v>
      </c>
      <c r="J121" s="36">
        <f>#N/A</f>
        <v>22.99174399550714</v>
      </c>
      <c r="Q121" s="89"/>
    </row>
    <row r="122" spans="2:17" ht="39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>
        <f>#N/A</f>
        <v>165.7</v>
      </c>
      <c r="H122" s="244">
        <f>#N/A</f>
        <v>0</v>
      </c>
      <c r="I122" s="36">
        <f>#N/A</f>
        <v>165.7</v>
      </c>
      <c r="J122" s="36" t="e">
        <f>#N/A</f>
        <v>#DIV/0!</v>
      </c>
      <c r="Q122" s="89"/>
    </row>
    <row r="123" spans="2:17" ht="63.75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>
        <f>#N/A</f>
        <v>-74.22000000000003</v>
      </c>
      <c r="H123" s="244">
        <f>#N/A</f>
        <v>91.84305967688756</v>
      </c>
      <c r="I123" s="36">
        <f>#N/A</f>
        <v>-3520.6200000000003</v>
      </c>
      <c r="J123" s="36">
        <f>#N/A</f>
        <v>19.183251842159628</v>
      </c>
      <c r="Q123" s="89"/>
    </row>
    <row r="124" spans="2:17" s="242" customFormat="1" ht="25.5" customHeight="1">
      <c r="B124" s="275" t="s">
        <v>158</v>
      </c>
      <c r="C124" s="276"/>
      <c r="D124" s="277">
        <f>D112+D113</f>
        <v>2898424.04</v>
      </c>
      <c r="E124" s="277">
        <f>E112+E113</f>
        <v>1252927.2599999998</v>
      </c>
      <c r="F124" s="277">
        <f>F112+F113</f>
        <v>1223008.25</v>
      </c>
      <c r="G124" s="278">
        <f>#N/A</f>
        <v>-29919.009999999776</v>
      </c>
      <c r="H124" s="277">
        <f>#N/A</f>
        <v>97.61207127060196</v>
      </c>
      <c r="I124" s="279">
        <f>#N/A</f>
        <v>-1675415.79</v>
      </c>
      <c r="J124" s="279">
        <f>#N/A</f>
        <v>42.19562883559301</v>
      </c>
      <c r="Q124" s="243"/>
    </row>
    <row r="128" spans="4:6" ht="15">
      <c r="D128" s="29"/>
      <c r="E128" s="29"/>
      <c r="F128" s="29"/>
    </row>
    <row r="130" spans="4:5" ht="15">
      <c r="D130" s="29"/>
      <c r="E130" s="29"/>
    </row>
  </sheetData>
  <sheetProtection/>
  <mergeCells count="37">
    <mergeCell ref="B99:C99"/>
    <mergeCell ref="G99:H99"/>
    <mergeCell ref="O101:P101"/>
    <mergeCell ref="G96:H96"/>
    <mergeCell ref="J96:N96"/>
    <mergeCell ref="B97:C97"/>
    <mergeCell ref="G97:H97"/>
    <mergeCell ref="J97:N97"/>
    <mergeCell ref="G98:H98"/>
    <mergeCell ref="G94:H94"/>
    <mergeCell ref="J94:N94"/>
    <mergeCell ref="O94:P94"/>
    <mergeCell ref="G95:H95"/>
    <mergeCell ref="J95:N95"/>
    <mergeCell ref="O95:P95"/>
    <mergeCell ref="F4:F5"/>
    <mergeCell ref="G4:G5"/>
    <mergeCell ref="H4:H5"/>
    <mergeCell ref="I4:I5"/>
    <mergeCell ref="J4:J5"/>
    <mergeCell ref="O93:P93"/>
    <mergeCell ref="O3:S3"/>
    <mergeCell ref="P4:P5"/>
    <mergeCell ref="Q4:Q5"/>
    <mergeCell ref="K5:M5"/>
    <mergeCell ref="R5:S5"/>
    <mergeCell ref="G92:J92"/>
    <mergeCell ref="E4:E5"/>
    <mergeCell ref="O4:O5"/>
    <mergeCell ref="A1:Q1"/>
    <mergeCell ref="B2:D2"/>
    <mergeCell ref="A3:A5"/>
    <mergeCell ref="B3:B5"/>
    <mergeCell ref="C3:C5"/>
    <mergeCell ref="D3:D5"/>
    <mergeCell ref="F3:J3"/>
    <mergeCell ref="N3:N5"/>
  </mergeCells>
  <printOptions/>
  <pageMargins left="0.31496062992125984" right="0.11811023622047245" top="0.1968503937007874" bottom="0.15748031496062992" header="0" footer="0"/>
  <pageSetup fitToHeight="2" fitToWidth="1" orientation="landscape" paperSize="9" scale="6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4"/>
  <sheetViews>
    <sheetView zoomScale="77" zoomScaleNormal="77" zoomScalePageLayoutView="0" workbookViewId="0" topLeftCell="B1">
      <pane xSplit="2" ySplit="8" topLeftCell="D94" activePane="bottomRight" state="frozen"/>
      <selection pane="topLeft" activeCell="B1" sqref="B1"/>
      <selection pane="topRight" activeCell="D1" sqref="D1"/>
      <selection pane="bottomLeft" activeCell="B9" sqref="B9"/>
      <selection pane="bottomRight" activeCell="F133" sqref="F133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hidden="1" customWidth="1"/>
    <col min="13" max="13" width="14.25390625" style="4" hidden="1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20" width="11.00390625" style="4" hidden="1" customWidth="1"/>
    <col min="21" max="21" width="11.00390625" style="89" hidden="1" customWidth="1"/>
    <col min="22" max="16384" width="9.125" style="4" customWidth="1"/>
  </cols>
  <sheetData>
    <row r="1" spans="1:21" s="1" customFormat="1" ht="26.25" customHeight="1">
      <c r="A1" s="396" t="s">
        <v>207</v>
      </c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  <c r="M1" s="396"/>
      <c r="N1" s="396"/>
      <c r="O1" s="396"/>
      <c r="P1" s="396"/>
      <c r="Q1" s="396"/>
      <c r="R1" s="86"/>
      <c r="S1" s="86"/>
      <c r="T1" s="86"/>
      <c r="U1" s="87"/>
    </row>
    <row r="2" spans="2:21" s="1" customFormat="1" ht="15.75" customHeight="1">
      <c r="B2" s="397"/>
      <c r="C2" s="397"/>
      <c r="D2" s="397"/>
      <c r="E2" s="2"/>
      <c r="F2" s="112"/>
      <c r="G2" s="2"/>
      <c r="H2" s="2"/>
      <c r="M2" s="1" t="s">
        <v>24</v>
      </c>
      <c r="Q2" s="17" t="s">
        <v>24</v>
      </c>
      <c r="R2" s="17"/>
      <c r="S2" s="17"/>
      <c r="T2" s="17"/>
      <c r="U2" s="88"/>
    </row>
    <row r="3" spans="1:21" s="3" customFormat="1" ht="13.5" customHeight="1">
      <c r="A3" s="398"/>
      <c r="B3" s="400"/>
      <c r="C3" s="401" t="s">
        <v>0</v>
      </c>
      <c r="D3" s="402" t="s">
        <v>150</v>
      </c>
      <c r="E3" s="32"/>
      <c r="F3" s="403" t="s">
        <v>26</v>
      </c>
      <c r="G3" s="404"/>
      <c r="H3" s="404"/>
      <c r="I3" s="404"/>
      <c r="J3" s="405"/>
      <c r="K3" s="83"/>
      <c r="L3" s="83"/>
      <c r="M3" s="83"/>
      <c r="N3" s="406" t="s">
        <v>201</v>
      </c>
      <c r="O3" s="409" t="s">
        <v>202</v>
      </c>
      <c r="P3" s="409"/>
      <c r="Q3" s="409"/>
      <c r="R3" s="409"/>
      <c r="S3" s="409"/>
      <c r="T3" s="409"/>
      <c r="U3" s="409"/>
    </row>
    <row r="4" spans="1:21" ht="22.5" customHeight="1">
      <c r="A4" s="398"/>
      <c r="B4" s="400"/>
      <c r="C4" s="401"/>
      <c r="D4" s="402"/>
      <c r="E4" s="392" t="s">
        <v>198</v>
      </c>
      <c r="F4" s="422" t="s">
        <v>33</v>
      </c>
      <c r="G4" s="410" t="s">
        <v>199</v>
      </c>
      <c r="H4" s="407" t="s">
        <v>200</v>
      </c>
      <c r="I4" s="410" t="s">
        <v>138</v>
      </c>
      <c r="J4" s="407" t="s">
        <v>139</v>
      </c>
      <c r="K4" s="85" t="s">
        <v>141</v>
      </c>
      <c r="L4" s="204" t="s">
        <v>113</v>
      </c>
      <c r="M4" s="90" t="s">
        <v>63</v>
      </c>
      <c r="N4" s="407"/>
      <c r="O4" s="394" t="s">
        <v>208</v>
      </c>
      <c r="P4" s="410" t="s">
        <v>49</v>
      </c>
      <c r="Q4" s="412" t="s">
        <v>48</v>
      </c>
      <c r="R4" s="91" t="s">
        <v>64</v>
      </c>
      <c r="S4" s="91"/>
      <c r="T4" s="91"/>
      <c r="U4" s="92" t="s">
        <v>63</v>
      </c>
    </row>
    <row r="5" spans="1:21" ht="67.5" customHeight="1">
      <c r="A5" s="399"/>
      <c r="B5" s="400"/>
      <c r="C5" s="401"/>
      <c r="D5" s="402"/>
      <c r="E5" s="393"/>
      <c r="F5" s="423"/>
      <c r="G5" s="411"/>
      <c r="H5" s="408"/>
      <c r="I5" s="411"/>
      <c r="J5" s="408"/>
      <c r="K5" s="413" t="s">
        <v>204</v>
      </c>
      <c r="L5" s="414"/>
      <c r="M5" s="415"/>
      <c r="N5" s="408"/>
      <c r="O5" s="395"/>
      <c r="P5" s="411"/>
      <c r="Q5" s="412"/>
      <c r="R5" s="434" t="s">
        <v>203</v>
      </c>
      <c r="S5" s="435"/>
      <c r="T5" s="419" t="s">
        <v>194</v>
      </c>
      <c r="U5" s="419"/>
    </row>
    <row r="6" spans="1:21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0"/>
      <c r="T6" s="10"/>
      <c r="U6" s="110">
        <v>17</v>
      </c>
    </row>
    <row r="7" spans="1:21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10"/>
      <c r="T7" s="10"/>
      <c r="U7" s="93"/>
    </row>
    <row r="8" spans="1:21" s="6" customFormat="1" ht="17.25">
      <c r="A8" s="7"/>
      <c r="B8" s="154" t="s">
        <v>9</v>
      </c>
      <c r="C8" s="70" t="s">
        <v>10</v>
      </c>
      <c r="D8" s="151">
        <f>D9+D15+D18+D19+D23+D17</f>
        <v>1298451.1</v>
      </c>
      <c r="E8" s="151">
        <f>E9+E15+E18+E19+E23+E17</f>
        <v>504703.6</v>
      </c>
      <c r="F8" s="151">
        <f>F9+F15+F18+F19+F23+F17</f>
        <v>505095.9600000001</v>
      </c>
      <c r="G8" s="151">
        <f>#N/A</f>
        <v>392.36000000010245</v>
      </c>
      <c r="H8" s="152">
        <f>F8/E8*100</f>
        <v>100.07774067789492</v>
      </c>
      <c r="I8" s="153">
        <f>F8-D8</f>
        <v>-793355.14</v>
      </c>
      <c r="J8" s="153">
        <f>F8/D8*100</f>
        <v>38.89988309917871</v>
      </c>
      <c r="K8" s="151">
        <v>374994.96</v>
      </c>
      <c r="L8" s="151">
        <f>#N/A</f>
        <v>130101.00000000006</v>
      </c>
      <c r="M8" s="205">
        <f>#N/A</f>
        <v>1.3469406628825094</v>
      </c>
      <c r="N8" s="151">
        <f>N9+N15+N18+N19+N23+N17</f>
        <v>106726.09999999998</v>
      </c>
      <c r="O8" s="151">
        <f>O9+O15+O18+O19+O23+O17</f>
        <v>104783.70400000001</v>
      </c>
      <c r="P8" s="151">
        <f>O8-N8</f>
        <v>-1942.3959999999643</v>
      </c>
      <c r="Q8" s="151">
        <f>O8/N8*100</f>
        <v>98.18001782132022</v>
      </c>
      <c r="R8" s="15">
        <f>R9+R15+R18+R19+R23</f>
        <v>104639</v>
      </c>
      <c r="S8" s="15">
        <f>O8-R8</f>
        <v>144.70400000001246</v>
      </c>
      <c r="T8" s="15"/>
      <c r="U8" s="15" t="e">
        <f>#N/A</f>
        <v>#N/A</v>
      </c>
    </row>
    <row r="9" spans="1:21" s="6" customFormat="1" ht="18">
      <c r="A9" s="8"/>
      <c r="B9" s="13" t="s">
        <v>79</v>
      </c>
      <c r="C9" s="43">
        <v>11010000</v>
      </c>
      <c r="D9" s="150">
        <v>766645</v>
      </c>
      <c r="E9" s="150">
        <v>278840</v>
      </c>
      <c r="F9" s="156">
        <v>281631.58</v>
      </c>
      <c r="G9" s="150">
        <f>#N/A</f>
        <v>2791.5800000000163</v>
      </c>
      <c r="H9" s="157">
        <f>F9/E9*100</f>
        <v>101.00114043896143</v>
      </c>
      <c r="I9" s="158">
        <f>F9-D9</f>
        <v>-485013.42</v>
      </c>
      <c r="J9" s="158">
        <f>F9/D9*100</f>
        <v>36.73559209282002</v>
      </c>
      <c r="K9" s="227">
        <v>199100.92</v>
      </c>
      <c r="L9" s="159">
        <f>#N/A</f>
        <v>82530.66</v>
      </c>
      <c r="M9" s="206">
        <f>#N/A</f>
        <v>1.4145167184561478</v>
      </c>
      <c r="N9" s="157">
        <f>E9-квітень!E9</f>
        <v>57980</v>
      </c>
      <c r="O9" s="160">
        <f>F9-квітень!F9</f>
        <v>58535.478</v>
      </c>
      <c r="P9" s="161">
        <f>O9-N9</f>
        <v>555.4780000000028</v>
      </c>
      <c r="Q9" s="158">
        <f>O9/N9*100</f>
        <v>100.95805105208693</v>
      </c>
      <c r="R9" s="291">
        <v>57980</v>
      </c>
      <c r="S9" s="291">
        <f>O9-R9</f>
        <v>555.4780000000028</v>
      </c>
      <c r="T9" s="100">
        <f>березень!F9+квітень!R9</f>
        <v>223567.36</v>
      </c>
      <c r="U9" s="100">
        <f>F9-T9</f>
        <v>58064.22000000003</v>
      </c>
    </row>
    <row r="10" spans="1:21" s="6" customFormat="1" ht="15" customHeight="1" hidden="1">
      <c r="A10" s="8"/>
      <c r="B10" s="121" t="s">
        <v>89</v>
      </c>
      <c r="C10" s="102">
        <v>11010100</v>
      </c>
      <c r="D10" s="103">
        <v>701317</v>
      </c>
      <c r="E10" s="103">
        <v>253160</v>
      </c>
      <c r="F10" s="140">
        <v>257579.18</v>
      </c>
      <c r="G10" s="103">
        <f>#N/A</f>
        <v>4419.179999999993</v>
      </c>
      <c r="H10" s="30">
        <f>#N/A</f>
        <v>101.74560752093538</v>
      </c>
      <c r="I10" s="104">
        <f>#N/A</f>
        <v>-443737.82</v>
      </c>
      <c r="J10" s="104">
        <f>#N/A</f>
        <v>36.72792474729687</v>
      </c>
      <c r="K10" s="106">
        <v>174168.33</v>
      </c>
      <c r="L10" s="106">
        <f>#N/A</f>
        <v>83410.85</v>
      </c>
      <c r="M10" s="207">
        <f>#N/A</f>
        <v>1.4789093975925474</v>
      </c>
      <c r="N10" s="105">
        <f>E10-квітень!E10</f>
        <v>53024</v>
      </c>
      <c r="O10" s="144">
        <f>F10-квітень!F10</f>
        <v>53213.32000000001</v>
      </c>
      <c r="P10" s="106">
        <f>#N/A</f>
        <v>189.32000000000698</v>
      </c>
      <c r="Q10" s="104">
        <f>#N/A</f>
        <v>100.35704586602294</v>
      </c>
      <c r="R10" s="37"/>
      <c r="S10" s="100">
        <f>#N/A</f>
        <v>53213.32000000001</v>
      </c>
      <c r="T10" s="37"/>
      <c r="U10" s="94"/>
    </row>
    <row r="11" spans="1:21" s="6" customFormat="1" ht="15" customHeight="1" hidden="1">
      <c r="A11" s="8"/>
      <c r="B11" s="121" t="s">
        <v>85</v>
      </c>
      <c r="C11" s="102">
        <v>11010200</v>
      </c>
      <c r="D11" s="103">
        <v>46506</v>
      </c>
      <c r="E11" s="103">
        <v>18360</v>
      </c>
      <c r="F11" s="140">
        <v>15819.9</v>
      </c>
      <c r="G11" s="103">
        <f>#N/A</f>
        <v>-2540.1000000000004</v>
      </c>
      <c r="H11" s="30">
        <f>#N/A</f>
        <v>86.16503267973856</v>
      </c>
      <c r="I11" s="104">
        <f>#N/A</f>
        <v>-30686.1</v>
      </c>
      <c r="J11" s="104">
        <f>#N/A</f>
        <v>34.01690104502645</v>
      </c>
      <c r="K11" s="106">
        <v>14679.25</v>
      </c>
      <c r="L11" s="106">
        <f>#N/A</f>
        <v>1140.6499999999996</v>
      </c>
      <c r="M11" s="207">
        <f>#N/A</f>
        <v>1.0777049236166698</v>
      </c>
      <c r="N11" s="105">
        <f>E11-квітень!E11</f>
        <v>3660</v>
      </c>
      <c r="O11" s="144">
        <f>F11-квітень!F11</f>
        <v>3390.75</v>
      </c>
      <c r="P11" s="106">
        <f>#N/A</f>
        <v>-269.25</v>
      </c>
      <c r="Q11" s="104">
        <f>#N/A</f>
        <v>92.64344262295083</v>
      </c>
      <c r="R11" s="37"/>
      <c r="S11" s="100">
        <f>#N/A</f>
        <v>3390.75</v>
      </c>
      <c r="T11" s="37"/>
      <c r="U11" s="94"/>
    </row>
    <row r="12" spans="1:21" s="6" customFormat="1" ht="15" customHeight="1" hidden="1">
      <c r="A12" s="8"/>
      <c r="B12" s="121" t="s">
        <v>88</v>
      </c>
      <c r="C12" s="102">
        <v>11010400</v>
      </c>
      <c r="D12" s="103">
        <v>8280</v>
      </c>
      <c r="E12" s="103">
        <v>2940</v>
      </c>
      <c r="F12" s="140">
        <v>3742.26</v>
      </c>
      <c r="G12" s="103">
        <f>#N/A</f>
        <v>802.2600000000002</v>
      </c>
      <c r="H12" s="30">
        <f>#N/A</f>
        <v>127.28775510204082</v>
      </c>
      <c r="I12" s="104">
        <f>#N/A</f>
        <v>-4537.74</v>
      </c>
      <c r="J12" s="104">
        <f>#N/A</f>
        <v>45.196376811594206</v>
      </c>
      <c r="K12" s="106">
        <v>4583.23</v>
      </c>
      <c r="L12" s="106">
        <f>#N/A</f>
        <v>-840.9699999999993</v>
      </c>
      <c r="M12" s="207">
        <f>#N/A</f>
        <v>0.8165114995319895</v>
      </c>
      <c r="N12" s="105">
        <f>E12-квітень!E12</f>
        <v>600</v>
      </c>
      <c r="O12" s="144">
        <f>F12-квітень!F12</f>
        <v>1132.67</v>
      </c>
      <c r="P12" s="106">
        <f>#N/A</f>
        <v>532.6700000000001</v>
      </c>
      <c r="Q12" s="104">
        <f>#N/A</f>
        <v>188.77833333333334</v>
      </c>
      <c r="R12" s="37"/>
      <c r="S12" s="100">
        <f>#N/A</f>
        <v>1132.67</v>
      </c>
      <c r="T12" s="37"/>
      <c r="U12" s="94"/>
    </row>
    <row r="13" spans="1:21" s="6" customFormat="1" ht="15" customHeight="1" hidden="1">
      <c r="A13" s="8"/>
      <c r="B13" s="121" t="s">
        <v>86</v>
      </c>
      <c r="C13" s="102">
        <v>11010500</v>
      </c>
      <c r="D13" s="103">
        <v>9390</v>
      </c>
      <c r="E13" s="103">
        <v>3900</v>
      </c>
      <c r="F13" s="140">
        <v>3882.59</v>
      </c>
      <c r="G13" s="103">
        <f>#N/A</f>
        <v>-17.409999999999854</v>
      </c>
      <c r="H13" s="30">
        <f>#N/A</f>
        <v>99.55358974358974</v>
      </c>
      <c r="I13" s="104">
        <f>#N/A</f>
        <v>-5507.41</v>
      </c>
      <c r="J13" s="104">
        <f>#N/A</f>
        <v>41.34813631522897</v>
      </c>
      <c r="K13" s="106">
        <v>3763.44</v>
      </c>
      <c r="L13" s="106">
        <f>#N/A</f>
        <v>119.15000000000009</v>
      </c>
      <c r="M13" s="207">
        <f>#N/A</f>
        <v>1.0316598643793975</v>
      </c>
      <c r="N13" s="105">
        <f>E13-квітень!E13</f>
        <v>600</v>
      </c>
      <c r="O13" s="144">
        <f>F13-квітень!F13</f>
        <v>673.2600000000002</v>
      </c>
      <c r="P13" s="106">
        <f>#N/A</f>
        <v>73.26000000000022</v>
      </c>
      <c r="Q13" s="104">
        <f>#N/A</f>
        <v>112.21000000000004</v>
      </c>
      <c r="R13" s="37"/>
      <c r="S13" s="100">
        <f>#N/A</f>
        <v>673.2600000000002</v>
      </c>
      <c r="T13" s="37"/>
      <c r="U13" s="94"/>
    </row>
    <row r="14" spans="1:21" s="6" customFormat="1" ht="15" customHeight="1" hidden="1">
      <c r="A14" s="8"/>
      <c r="B14" s="121" t="s">
        <v>87</v>
      </c>
      <c r="C14" s="102">
        <v>11010900</v>
      </c>
      <c r="D14" s="103">
        <v>1152</v>
      </c>
      <c r="E14" s="103">
        <v>480</v>
      </c>
      <c r="F14" s="140">
        <v>607.65</v>
      </c>
      <c r="G14" s="103">
        <f>#N/A</f>
        <v>127.64999999999998</v>
      </c>
      <c r="H14" s="30">
        <f>#N/A</f>
        <v>126.59375</v>
      </c>
      <c r="I14" s="104">
        <f>#N/A</f>
        <v>-544.35</v>
      </c>
      <c r="J14" s="104">
        <f>#N/A</f>
        <v>52.747395833333336</v>
      </c>
      <c r="K14" s="106">
        <v>1906.68</v>
      </c>
      <c r="L14" s="106">
        <f>#N/A</f>
        <v>-1299.0300000000002</v>
      </c>
      <c r="M14" s="207">
        <f>#N/A</f>
        <v>0.3186953238089244</v>
      </c>
      <c r="N14" s="105">
        <f>E14-квітень!E14</f>
        <v>96</v>
      </c>
      <c r="O14" s="144">
        <f>F14-квітень!F14</f>
        <v>125.47999999999996</v>
      </c>
      <c r="P14" s="106">
        <f>#N/A</f>
        <v>29.47999999999996</v>
      </c>
      <c r="Q14" s="104">
        <f>#N/A</f>
        <v>130.7083333333333</v>
      </c>
      <c r="R14" s="37"/>
      <c r="S14" s="100">
        <f>#N/A</f>
        <v>125.47999999999996</v>
      </c>
      <c r="T14" s="37"/>
      <c r="U14" s="94"/>
    </row>
    <row r="15" spans="1:21" s="6" customFormat="1" ht="30.75">
      <c r="A15" s="8"/>
      <c r="B15" s="12" t="s">
        <v>11</v>
      </c>
      <c r="C15" s="43">
        <v>11020200</v>
      </c>
      <c r="D15" s="150">
        <v>551</v>
      </c>
      <c r="E15" s="150">
        <v>341</v>
      </c>
      <c r="F15" s="156">
        <v>44.56</v>
      </c>
      <c r="G15" s="150">
        <f>#N/A</f>
        <v>-296.44</v>
      </c>
      <c r="H15" s="157">
        <f>F15/E15*100</f>
        <v>13.067448680351907</v>
      </c>
      <c r="I15" s="158">
        <f>#N/A</f>
        <v>-506.44</v>
      </c>
      <c r="J15" s="158">
        <f>F15/D15*100</f>
        <v>8.087114337568059</v>
      </c>
      <c r="K15" s="161">
        <v>309.24</v>
      </c>
      <c r="L15" s="161">
        <f>#N/A</f>
        <v>-264.68</v>
      </c>
      <c r="M15" s="208">
        <f>#N/A</f>
        <v>0.14409520113827448</v>
      </c>
      <c r="N15" s="164">
        <f>E15-квітень!E15</f>
        <v>170</v>
      </c>
      <c r="O15" s="168">
        <f>F15-квітень!F15</f>
        <v>360.92</v>
      </c>
      <c r="P15" s="161">
        <f>#N/A</f>
        <v>190.92000000000002</v>
      </c>
      <c r="Q15" s="158"/>
      <c r="R15" s="292">
        <v>150</v>
      </c>
      <c r="S15" s="291">
        <f>#N/A</f>
        <v>210.92000000000002</v>
      </c>
      <c r="T15" s="37"/>
      <c r="U15" s="94"/>
    </row>
    <row r="16" spans="1:21" s="6" customFormat="1" ht="18" customHeight="1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>#N/A</f>
        <v>0</v>
      </c>
      <c r="H16" s="157" t="e">
        <f>F16/E16/100</f>
        <v>#DIV/0!</v>
      </c>
      <c r="I16" s="37">
        <f>#N/A</f>
        <v>0</v>
      </c>
      <c r="J16" s="37" t="e">
        <f>#N/A</f>
        <v>#DIV/0!</v>
      </c>
      <c r="K16" s="106">
        <v>381.9</v>
      </c>
      <c r="L16" s="161">
        <f>#N/A</f>
        <v>-381.9</v>
      </c>
      <c r="M16" s="208">
        <f>#N/A</f>
        <v>0</v>
      </c>
      <c r="N16" s="164">
        <f>E16-квітень!E16</f>
        <v>0</v>
      </c>
      <c r="O16" s="168">
        <f>F16-квітень!F16</f>
        <v>0</v>
      </c>
      <c r="P16" s="36">
        <f>#N/A</f>
        <v>0</v>
      </c>
      <c r="Q16" s="158" t="e">
        <f>#N/A</f>
        <v>#DIV/0!</v>
      </c>
      <c r="R16" s="104">
        <f>O16-358.81</f>
        <v>-358.81</v>
      </c>
      <c r="S16" s="100">
        <f>#N/A</f>
        <v>358.81</v>
      </c>
      <c r="T16" s="104"/>
      <c r="U16" s="109">
        <f>O16/358.79</f>
        <v>0</v>
      </c>
    </row>
    <row r="17" spans="1:21" s="6" customFormat="1" ht="30.75" customHeight="1">
      <c r="A17" s="8"/>
      <c r="B17" s="225" t="s">
        <v>116</v>
      </c>
      <c r="C17" s="120">
        <v>13010200</v>
      </c>
      <c r="D17" s="162">
        <v>0</v>
      </c>
      <c r="E17" s="162">
        <v>0</v>
      </c>
      <c r="F17" s="163">
        <v>0.49</v>
      </c>
      <c r="G17" s="162">
        <f>#N/A</f>
        <v>0.49</v>
      </c>
      <c r="H17" s="157"/>
      <c r="I17" s="165">
        <f>#N/A</f>
        <v>0.49</v>
      </c>
      <c r="J17" s="165"/>
      <c r="K17" s="167">
        <v>0.14</v>
      </c>
      <c r="L17" s="161">
        <f>#N/A</f>
        <v>0.35</v>
      </c>
      <c r="M17" s="208">
        <f>#N/A</f>
        <v>3.4999999999999996</v>
      </c>
      <c r="N17" s="164">
        <f>E17-квітень!E17</f>
        <v>0</v>
      </c>
      <c r="O17" s="168">
        <f>F17-квітень!F17</f>
        <v>0.49</v>
      </c>
      <c r="P17" s="167">
        <f>#N/A</f>
        <v>0.49</v>
      </c>
      <c r="Q17" s="158"/>
      <c r="R17" s="104"/>
      <c r="S17" s="100">
        <f>#N/A</f>
        <v>0.49</v>
      </c>
      <c r="T17" s="104"/>
      <c r="U17" s="109"/>
    </row>
    <row r="18" spans="1:21" s="6" customFormat="1" ht="30.75">
      <c r="A18" s="8"/>
      <c r="B18" s="13" t="s">
        <v>117</v>
      </c>
      <c r="C18" s="43" t="s">
        <v>58</v>
      </c>
      <c r="D18" s="150">
        <v>125</v>
      </c>
      <c r="E18" s="150">
        <v>70</v>
      </c>
      <c r="F18" s="156">
        <v>118.46</v>
      </c>
      <c r="G18" s="150">
        <f>#N/A</f>
        <v>48.459999999999994</v>
      </c>
      <c r="H18" s="157">
        <f>F18/E18*100</f>
        <v>169.22857142857143</v>
      </c>
      <c r="I18" s="158">
        <f>#N/A</f>
        <v>-6.540000000000006</v>
      </c>
      <c r="J18" s="158">
        <f>#N/A</f>
        <v>94.768</v>
      </c>
      <c r="K18" s="161">
        <v>105.8</v>
      </c>
      <c r="L18" s="161">
        <f>#N/A</f>
        <v>12.659999999999997</v>
      </c>
      <c r="M18" s="208">
        <f>#N/A</f>
        <v>1.1196597353497164</v>
      </c>
      <c r="N18" s="164">
        <f>E18-квітень!E18</f>
        <v>0</v>
      </c>
      <c r="O18" s="168">
        <f>F18-квітень!F18</f>
        <v>0</v>
      </c>
      <c r="P18" s="161">
        <f>#N/A</f>
        <v>0</v>
      </c>
      <c r="Q18" s="158"/>
      <c r="R18" s="37">
        <v>0</v>
      </c>
      <c r="S18" s="100">
        <f>#N/A</f>
        <v>0</v>
      </c>
      <c r="T18" s="37"/>
      <c r="U18" s="94"/>
    </row>
    <row r="19" spans="1:21" s="6" customFormat="1" ht="18">
      <c r="A19" s="8"/>
      <c r="B19" s="13" t="s">
        <v>172</v>
      </c>
      <c r="C19" s="43"/>
      <c r="D19" s="150">
        <f>D20+D21+D22</f>
        <v>130000</v>
      </c>
      <c r="E19" s="150">
        <v>48400</v>
      </c>
      <c r="F19" s="156">
        <v>44995.09</v>
      </c>
      <c r="G19" s="162">
        <f>#N/A</f>
        <v>-3404.9100000000035</v>
      </c>
      <c r="H19" s="164">
        <f>#N/A</f>
        <v>92.96506198347106</v>
      </c>
      <c r="I19" s="165">
        <f>#N/A</f>
        <v>-85004.91</v>
      </c>
      <c r="J19" s="165">
        <f>#N/A</f>
        <v>34.611607692307686</v>
      </c>
      <c r="K19" s="161">
        <v>35230.56</v>
      </c>
      <c r="L19" s="167">
        <f>#N/A</f>
        <v>9764.529999999999</v>
      </c>
      <c r="M19" s="213">
        <f>#N/A</f>
        <v>1.2771607944920547</v>
      </c>
      <c r="N19" s="164">
        <f>E19-квітень!E19</f>
        <v>10500</v>
      </c>
      <c r="O19" s="168">
        <f>F19-квітень!F19</f>
        <v>8890.325999999994</v>
      </c>
      <c r="P19" s="167">
        <f>#N/A</f>
        <v>-1609.6740000000063</v>
      </c>
      <c r="Q19" s="165">
        <f>#N/A</f>
        <v>84.66977142857137</v>
      </c>
      <c r="R19" s="292">
        <v>9450</v>
      </c>
      <c r="S19" s="291">
        <f>#N/A</f>
        <v>-559.6740000000063</v>
      </c>
      <c r="T19" s="37"/>
      <c r="U19" s="94"/>
    </row>
    <row r="20" spans="1:21" s="6" customFormat="1" ht="61.5">
      <c r="A20" s="8"/>
      <c r="B20" s="252" t="s">
        <v>205</v>
      </c>
      <c r="C20" s="123">
        <v>14040000</v>
      </c>
      <c r="D20" s="253">
        <v>76500</v>
      </c>
      <c r="E20" s="253">
        <v>29650</v>
      </c>
      <c r="F20" s="201">
        <v>26128.49</v>
      </c>
      <c r="G20" s="253">
        <f>#N/A</f>
        <v>-3521.5099999999984</v>
      </c>
      <c r="H20" s="195">
        <f>#N/A</f>
        <v>88.12306913996628</v>
      </c>
      <c r="I20" s="254">
        <f>#N/A</f>
        <v>-50371.509999999995</v>
      </c>
      <c r="J20" s="254">
        <f>#N/A</f>
        <v>34.15488888888889</v>
      </c>
      <c r="K20" s="255">
        <v>35230.56</v>
      </c>
      <c r="L20" s="166">
        <f>#N/A</f>
        <v>-9102.069999999996</v>
      </c>
      <c r="M20" s="256">
        <f>#N/A</f>
        <v>0.7416427669614108</v>
      </c>
      <c r="N20" s="195">
        <f>E20-квітень!E20</f>
        <v>5750</v>
      </c>
      <c r="O20" s="179">
        <f>F20-квітень!F20</f>
        <v>4148.91</v>
      </c>
      <c r="P20" s="166">
        <f>#N/A</f>
        <v>-1601.0900000000001</v>
      </c>
      <c r="Q20" s="254">
        <f>#N/A</f>
        <v>72.15495652173914</v>
      </c>
      <c r="R20" s="107">
        <v>4450</v>
      </c>
      <c r="S20" s="100">
        <f>#N/A</f>
        <v>-301.09000000000015</v>
      </c>
      <c r="T20" s="107"/>
      <c r="U20" s="108"/>
    </row>
    <row r="21" spans="1:21" s="6" customFormat="1" ht="18">
      <c r="A21" s="8"/>
      <c r="B21" s="252" t="s">
        <v>170</v>
      </c>
      <c r="C21" s="123">
        <v>14021900</v>
      </c>
      <c r="D21" s="253">
        <v>10700</v>
      </c>
      <c r="E21" s="253">
        <v>3950</v>
      </c>
      <c r="F21" s="201">
        <v>4093.69</v>
      </c>
      <c r="G21" s="253">
        <f>#N/A</f>
        <v>143.69000000000005</v>
      </c>
      <c r="H21" s="195"/>
      <c r="I21" s="254">
        <f>#N/A</f>
        <v>-6606.3099999999995</v>
      </c>
      <c r="J21" s="254">
        <f>#N/A</f>
        <v>38.258785046728974</v>
      </c>
      <c r="K21" s="255">
        <v>0</v>
      </c>
      <c r="L21" s="166">
        <f>#N/A</f>
        <v>4093.69</v>
      </c>
      <c r="M21" s="256"/>
      <c r="N21" s="195">
        <f>E21-квітень!E21</f>
        <v>950</v>
      </c>
      <c r="O21" s="179">
        <f>F21-квітень!F21</f>
        <v>974.75</v>
      </c>
      <c r="P21" s="166">
        <f>#N/A</f>
        <v>24.75</v>
      </c>
      <c r="Q21" s="254"/>
      <c r="R21" s="107">
        <v>1000</v>
      </c>
      <c r="S21" s="100">
        <f>#N/A</f>
        <v>-25.25</v>
      </c>
      <c r="T21" s="107"/>
      <c r="U21" s="108"/>
    </row>
    <row r="22" spans="1:21" s="6" customFormat="1" ht="18">
      <c r="A22" s="8"/>
      <c r="B22" s="252" t="s">
        <v>171</v>
      </c>
      <c r="C22" s="123">
        <v>14031900</v>
      </c>
      <c r="D22" s="253">
        <v>42800</v>
      </c>
      <c r="E22" s="253">
        <v>14800</v>
      </c>
      <c r="F22" s="201">
        <v>14772.92</v>
      </c>
      <c r="G22" s="253">
        <f>#N/A</f>
        <v>-27.079999999999927</v>
      </c>
      <c r="H22" s="195"/>
      <c r="I22" s="254">
        <f>#N/A</f>
        <v>-28027.08</v>
      </c>
      <c r="J22" s="254">
        <f>#N/A</f>
        <v>34.516168224299065</v>
      </c>
      <c r="K22" s="255">
        <v>0</v>
      </c>
      <c r="L22" s="166">
        <f>#N/A</f>
        <v>14772.92</v>
      </c>
      <c r="M22" s="256"/>
      <c r="N22" s="195">
        <f>E22-квітень!E22</f>
        <v>3800</v>
      </c>
      <c r="O22" s="179">
        <f>F22-квітень!F22</f>
        <v>3766.6800000000003</v>
      </c>
      <c r="P22" s="166">
        <f>#N/A</f>
        <v>-33.31999999999971</v>
      </c>
      <c r="Q22" s="254"/>
      <c r="R22" s="107">
        <v>4000</v>
      </c>
      <c r="S22" s="100">
        <f>#N/A</f>
        <v>-233.3199999999997</v>
      </c>
      <c r="T22" s="107"/>
      <c r="U22" s="108"/>
    </row>
    <row r="23" spans="1:21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177052.59999999998</v>
      </c>
      <c r="F23" s="223">
        <f>F24+F32+F33+F34+F35</f>
        <v>178305.78</v>
      </c>
      <c r="G23" s="150">
        <f>#N/A</f>
        <v>1253.1800000000221</v>
      </c>
      <c r="H23" s="157">
        <f>#N/A</f>
        <v>100.70780095858521</v>
      </c>
      <c r="I23" s="158">
        <f>#N/A</f>
        <v>-222824.31999999998</v>
      </c>
      <c r="J23" s="158">
        <f>#N/A</f>
        <v>44.45086020719961</v>
      </c>
      <c r="K23" s="158">
        <v>140248.27</v>
      </c>
      <c r="L23" s="161">
        <f>#N/A</f>
        <v>38057.51000000001</v>
      </c>
      <c r="M23" s="209">
        <f>#N/A</f>
        <v>1.271358142243038</v>
      </c>
      <c r="N23" s="157">
        <f>E23-квітень!E23</f>
        <v>38076.09999999998</v>
      </c>
      <c r="O23" s="160">
        <f>F23-квітень!F23</f>
        <v>36996.49000000002</v>
      </c>
      <c r="P23" s="161">
        <f>#N/A</f>
        <v>-1079.609999999957</v>
      </c>
      <c r="Q23" s="158">
        <f>#N/A</f>
        <v>97.16459931558128</v>
      </c>
      <c r="R23" s="283">
        <f>R24+R32+R33+R34+R35</f>
        <v>37059</v>
      </c>
      <c r="S23" s="291">
        <f>#N/A</f>
        <v>-62.50999999998021</v>
      </c>
      <c r="T23" s="107"/>
      <c r="U23" s="108"/>
    </row>
    <row r="24" spans="1:21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82707.9</v>
      </c>
      <c r="F24" s="223">
        <f>F25+F28+F29</f>
        <v>81732.13</v>
      </c>
      <c r="G24" s="150">
        <f>#N/A</f>
        <v>-975.7699999999895</v>
      </c>
      <c r="H24" s="157">
        <f>#N/A</f>
        <v>98.82022152660146</v>
      </c>
      <c r="I24" s="158">
        <f>#N/A</f>
        <v>-124888.87</v>
      </c>
      <c r="J24" s="158">
        <f>#N/A</f>
        <v>39.55654555926068</v>
      </c>
      <c r="K24" s="158">
        <v>71540.14</v>
      </c>
      <c r="L24" s="161">
        <f>#N/A</f>
        <v>10191.990000000005</v>
      </c>
      <c r="M24" s="209">
        <f>#N/A</f>
        <v>1.1424653348455847</v>
      </c>
      <c r="N24" s="157">
        <f>E24-квітень!E24</f>
        <v>15364.099999999991</v>
      </c>
      <c r="O24" s="160">
        <f>F24-квітень!F24</f>
        <v>14055.14</v>
      </c>
      <c r="P24" s="161">
        <f>#N/A</f>
        <v>-1308.9599999999919</v>
      </c>
      <c r="Q24" s="158">
        <f>#N/A</f>
        <v>91.48039911221619</v>
      </c>
      <c r="R24" s="107">
        <f>R25+R28+R29</f>
        <v>14352</v>
      </c>
      <c r="S24" s="100">
        <f>#N/A</f>
        <v>-296.8600000000006</v>
      </c>
      <c r="T24" s="107"/>
      <c r="U24" s="108"/>
    </row>
    <row r="25" spans="1:21" s="6" customFormat="1" ht="18">
      <c r="A25" s="8"/>
      <c r="B25" s="50" t="s">
        <v>74</v>
      </c>
      <c r="C25" s="123"/>
      <c r="D25" s="171">
        <v>22809</v>
      </c>
      <c r="E25" s="171">
        <v>9584.1</v>
      </c>
      <c r="F25" s="172">
        <v>10136.04</v>
      </c>
      <c r="G25" s="171">
        <f>#N/A</f>
        <v>551.9400000000005</v>
      </c>
      <c r="H25" s="173">
        <f>#N/A</f>
        <v>105.75891319998749</v>
      </c>
      <c r="I25" s="174">
        <f>#N/A</f>
        <v>-12672.96</v>
      </c>
      <c r="J25" s="174">
        <f>#N/A</f>
        <v>44.43877416809155</v>
      </c>
      <c r="K25" s="175">
        <v>8640.15</v>
      </c>
      <c r="L25" s="166">
        <f>#N/A</f>
        <v>1495.8900000000012</v>
      </c>
      <c r="M25" s="215">
        <f>#N/A</f>
        <v>1.1731324108956442</v>
      </c>
      <c r="N25" s="157">
        <f>E25-квітень!E25</f>
        <v>254.10000000000036</v>
      </c>
      <c r="O25" s="160">
        <f>F25-квітень!F25</f>
        <v>389.7300000000014</v>
      </c>
      <c r="P25" s="177">
        <f>#N/A</f>
        <v>135.63000000000102</v>
      </c>
      <c r="Q25" s="174">
        <f>#N/A</f>
        <v>153.3766233766237</v>
      </c>
      <c r="R25" s="283">
        <v>347</v>
      </c>
      <c r="S25" s="291">
        <f>#N/A</f>
        <v>42.73000000000138</v>
      </c>
      <c r="T25" s="107"/>
      <c r="U25" s="108"/>
    </row>
    <row r="26" spans="1:21" s="6" customFormat="1" ht="18" customHeight="1" hidden="1">
      <c r="A26" s="8"/>
      <c r="B26" s="196" t="s">
        <v>109</v>
      </c>
      <c r="C26" s="197"/>
      <c r="D26" s="198">
        <v>1822.3</v>
      </c>
      <c r="E26" s="198">
        <v>605</v>
      </c>
      <c r="F26" s="163">
        <v>197.27</v>
      </c>
      <c r="G26" s="198">
        <f>#N/A</f>
        <v>-407.73</v>
      </c>
      <c r="H26" s="199">
        <f>#N/A</f>
        <v>32.606611570247935</v>
      </c>
      <c r="I26" s="200">
        <f>#N/A</f>
        <v>-1625.03</v>
      </c>
      <c r="J26" s="200">
        <f>#N/A</f>
        <v>10.825330626131812</v>
      </c>
      <c r="K26" s="200">
        <v>263.65</v>
      </c>
      <c r="L26" s="200">
        <f>#N/A</f>
        <v>-66.37999999999997</v>
      </c>
      <c r="M26" s="228">
        <f>#N/A</f>
        <v>0.7482268158543525</v>
      </c>
      <c r="N26" s="237">
        <f>E26-квітень!E26</f>
        <v>55</v>
      </c>
      <c r="O26" s="237">
        <f>F26-квітень!F26</f>
        <v>-2.969999999999999</v>
      </c>
      <c r="P26" s="200">
        <f>#N/A</f>
        <v>-57.97</v>
      </c>
      <c r="Q26" s="200">
        <f>#N/A</f>
        <v>-5.399999999999998</v>
      </c>
      <c r="R26" s="107"/>
      <c r="S26" s="100">
        <f>#N/A</f>
        <v>-2.969999999999999</v>
      </c>
      <c r="T26" s="107"/>
      <c r="U26" s="108"/>
    </row>
    <row r="27" spans="1:21" s="6" customFormat="1" ht="18" customHeight="1" hidden="1">
      <c r="A27" s="8"/>
      <c r="B27" s="196" t="s">
        <v>110</v>
      </c>
      <c r="C27" s="197"/>
      <c r="D27" s="198">
        <v>20986.7</v>
      </c>
      <c r="E27" s="198">
        <v>8979.1</v>
      </c>
      <c r="F27" s="163">
        <v>9938.77</v>
      </c>
      <c r="G27" s="198">
        <f>#N/A</f>
        <v>959.6700000000001</v>
      </c>
      <c r="H27" s="199">
        <f>#N/A</f>
        <v>110.68781949193126</v>
      </c>
      <c r="I27" s="200">
        <f>#N/A</f>
        <v>-11047.93</v>
      </c>
      <c r="J27" s="200">
        <f>#N/A</f>
        <v>47.35746925433727</v>
      </c>
      <c r="K27" s="200">
        <v>8376.5</v>
      </c>
      <c r="L27" s="200">
        <f>#N/A</f>
        <v>1562.2700000000004</v>
      </c>
      <c r="M27" s="228">
        <f>#N/A</f>
        <v>1.186506297379574</v>
      </c>
      <c r="N27" s="237">
        <f>E27-квітень!E27</f>
        <v>199.10000000000036</v>
      </c>
      <c r="O27" s="237">
        <f>F27-квітень!F27</f>
        <v>392.7000000000007</v>
      </c>
      <c r="P27" s="200">
        <f>#N/A</f>
        <v>193.60000000000036</v>
      </c>
      <c r="Q27" s="200">
        <f>#N/A</f>
        <v>197.23756906077347</v>
      </c>
      <c r="R27" s="107"/>
      <c r="S27" s="100">
        <f>#N/A</f>
        <v>392.7000000000007</v>
      </c>
      <c r="T27" s="107"/>
      <c r="U27" s="108"/>
    </row>
    <row r="28" spans="1:21" s="6" customFormat="1" ht="18">
      <c r="A28" s="8"/>
      <c r="B28" s="50" t="s">
        <v>75</v>
      </c>
      <c r="C28" s="123"/>
      <c r="D28" s="171">
        <v>820</v>
      </c>
      <c r="E28" s="171">
        <v>128.8</v>
      </c>
      <c r="F28" s="172">
        <v>-45.48</v>
      </c>
      <c r="G28" s="171">
        <f>#N/A</f>
        <v>-174.28</v>
      </c>
      <c r="H28" s="173">
        <f>#N/A</f>
        <v>-35.31055900621117</v>
      </c>
      <c r="I28" s="174">
        <f>#N/A</f>
        <v>-865.48</v>
      </c>
      <c r="J28" s="174">
        <f>#N/A</f>
        <v>-5.546341463414634</v>
      </c>
      <c r="K28" s="174">
        <v>420.08</v>
      </c>
      <c r="L28" s="174">
        <f>#N/A</f>
        <v>-465.56</v>
      </c>
      <c r="M28" s="212">
        <f>#N/A</f>
        <v>-0.10826509236335936</v>
      </c>
      <c r="N28" s="195">
        <f>E28-квітень!E28</f>
        <v>5.000000000000014</v>
      </c>
      <c r="O28" s="179">
        <f>F28-квітень!F28</f>
        <v>-150</v>
      </c>
      <c r="P28" s="177">
        <f>#N/A</f>
        <v>-155</v>
      </c>
      <c r="Q28" s="174">
        <f>O28/N28*100</f>
        <v>-2999.9999999999914</v>
      </c>
      <c r="R28" s="107">
        <v>5</v>
      </c>
      <c r="S28" s="100">
        <f>#N/A</f>
        <v>-155</v>
      </c>
      <c r="T28" s="107"/>
      <c r="U28" s="108"/>
    </row>
    <row r="29" spans="1:21" s="6" customFormat="1" ht="18">
      <c r="A29" s="8"/>
      <c r="B29" s="50" t="s">
        <v>76</v>
      </c>
      <c r="C29" s="123"/>
      <c r="D29" s="171">
        <v>182992</v>
      </c>
      <c r="E29" s="171">
        <v>72995</v>
      </c>
      <c r="F29" s="172">
        <v>71641.57</v>
      </c>
      <c r="G29" s="171">
        <f>#N/A</f>
        <v>-1353.429999999993</v>
      </c>
      <c r="H29" s="173">
        <f>#N/A</f>
        <v>98.1458593054319</v>
      </c>
      <c r="I29" s="174">
        <f>#N/A</f>
        <v>-111350.43</v>
      </c>
      <c r="J29" s="174">
        <f>#N/A</f>
        <v>39.150110387339346</v>
      </c>
      <c r="K29" s="175">
        <v>62479.91</v>
      </c>
      <c r="L29" s="175">
        <f>#N/A</f>
        <v>9161.660000000003</v>
      </c>
      <c r="M29" s="211">
        <f>#N/A</f>
        <v>1.1466336939345785</v>
      </c>
      <c r="N29" s="195">
        <f>E29-квітень!E29</f>
        <v>15105</v>
      </c>
      <c r="O29" s="179">
        <f>F29-квітень!F29</f>
        <v>13815.410000000003</v>
      </c>
      <c r="P29" s="177">
        <f>#N/A</f>
        <v>-1289.5899999999965</v>
      </c>
      <c r="Q29" s="174">
        <f>O29/N29*100</f>
        <v>91.46249586229727</v>
      </c>
      <c r="R29" s="283">
        <v>14000</v>
      </c>
      <c r="S29" s="291">
        <f>#N/A</f>
        <v>-184.5899999999965</v>
      </c>
      <c r="T29" s="107"/>
      <c r="U29" s="108"/>
    </row>
    <row r="30" spans="1:21" s="6" customFormat="1" ht="18" customHeight="1" hidden="1">
      <c r="A30" s="8"/>
      <c r="B30" s="196" t="s">
        <v>111</v>
      </c>
      <c r="C30" s="197"/>
      <c r="D30" s="198">
        <v>57533</v>
      </c>
      <c r="E30" s="198">
        <v>22080</v>
      </c>
      <c r="F30" s="163">
        <v>24151.24</v>
      </c>
      <c r="G30" s="198">
        <f>#N/A</f>
        <v>2071.2400000000016</v>
      </c>
      <c r="H30" s="199">
        <f>#N/A</f>
        <v>109.380615942029</v>
      </c>
      <c r="I30" s="200">
        <f>#N/A</f>
        <v>-33381.759999999995</v>
      </c>
      <c r="J30" s="200">
        <f>#N/A</f>
        <v>41.97806476283177</v>
      </c>
      <c r="K30" s="200">
        <v>19348.56</v>
      </c>
      <c r="L30" s="200">
        <f>#N/A</f>
        <v>4802.68</v>
      </c>
      <c r="M30" s="228">
        <f>#N/A</f>
        <v>1.248218988906668</v>
      </c>
      <c r="N30" s="237">
        <f>E30-квітень!E30</f>
        <v>4650</v>
      </c>
      <c r="O30" s="237">
        <f>F30-квітень!F30</f>
        <v>4846.710000000003</v>
      </c>
      <c r="P30" s="200">
        <f>#N/A</f>
        <v>196.71000000000276</v>
      </c>
      <c r="Q30" s="200">
        <f>O30/N30*100</f>
        <v>104.23032258064522</v>
      </c>
      <c r="R30" s="107"/>
      <c r="S30" s="100">
        <f>#N/A</f>
        <v>4846.710000000003</v>
      </c>
      <c r="T30" s="107"/>
      <c r="U30" s="108"/>
    </row>
    <row r="31" spans="1:21" s="6" customFormat="1" ht="18" customHeight="1" hidden="1">
      <c r="A31" s="8"/>
      <c r="B31" s="196" t="s">
        <v>112</v>
      </c>
      <c r="C31" s="197"/>
      <c r="D31" s="198">
        <v>125459</v>
      </c>
      <c r="E31" s="198">
        <v>50915</v>
      </c>
      <c r="F31" s="163">
        <v>47490.33</v>
      </c>
      <c r="G31" s="198">
        <f>#N/A</f>
        <v>-3424.6699999999983</v>
      </c>
      <c r="H31" s="199">
        <f>#N/A</f>
        <v>93.27375036826083</v>
      </c>
      <c r="I31" s="200">
        <f>#N/A</f>
        <v>-77968.67</v>
      </c>
      <c r="J31" s="200">
        <f>#N/A</f>
        <v>37.853266804294634</v>
      </c>
      <c r="K31" s="200">
        <v>43131.35</v>
      </c>
      <c r="L31" s="200">
        <f>#N/A</f>
        <v>4358.980000000003</v>
      </c>
      <c r="M31" s="228">
        <f>#N/A</f>
        <v>1.1010629159532452</v>
      </c>
      <c r="N31" s="237">
        <f>E31-квітень!E31</f>
        <v>10455</v>
      </c>
      <c r="O31" s="237">
        <f>F31-квітень!F31</f>
        <v>8968.700000000004</v>
      </c>
      <c r="P31" s="200">
        <f>#N/A</f>
        <v>-1486.2999999999956</v>
      </c>
      <c r="Q31" s="200">
        <f>O31/N31*100</f>
        <v>85.78383548541372</v>
      </c>
      <c r="R31" s="107"/>
      <c r="S31" s="100">
        <f>#N/A</f>
        <v>8968.700000000004</v>
      </c>
      <c r="T31" s="107"/>
      <c r="U31" s="108"/>
    </row>
    <row r="32" spans="1:21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>#N/A</f>
        <v>0.2</v>
      </c>
      <c r="H32" s="157"/>
      <c r="I32" s="158">
        <f>#N/A</f>
        <v>0.2</v>
      </c>
      <c r="J32" s="158"/>
      <c r="K32" s="167">
        <v>0</v>
      </c>
      <c r="L32" s="158">
        <f>#N/A</f>
        <v>0.2</v>
      </c>
      <c r="M32" s="210"/>
      <c r="N32" s="157">
        <f>E32-квітень!E32</f>
        <v>0</v>
      </c>
      <c r="O32" s="160">
        <f>F32-квітень!F32</f>
        <v>0</v>
      </c>
      <c r="P32" s="161">
        <f>#N/A</f>
        <v>0</v>
      </c>
      <c r="Q32" s="158"/>
      <c r="R32" s="107"/>
      <c r="S32" s="100">
        <f>#N/A</f>
        <v>0</v>
      </c>
      <c r="T32" s="107"/>
      <c r="U32" s="108"/>
    </row>
    <row r="33" spans="1:21" s="6" customFormat="1" ht="18">
      <c r="A33" s="8"/>
      <c r="B33" s="44" t="s">
        <v>82</v>
      </c>
      <c r="C33" s="114">
        <v>18030000</v>
      </c>
      <c r="D33" s="150">
        <v>115</v>
      </c>
      <c r="E33" s="150">
        <v>39</v>
      </c>
      <c r="F33" s="156">
        <v>75.23</v>
      </c>
      <c r="G33" s="150">
        <f>#N/A</f>
        <v>36.230000000000004</v>
      </c>
      <c r="H33" s="157">
        <f>#N/A</f>
        <v>192.8974358974359</v>
      </c>
      <c r="I33" s="158">
        <f>#N/A</f>
        <v>-39.769999999999996</v>
      </c>
      <c r="J33" s="158">
        <f>#N/A</f>
        <v>65.41739130434783</v>
      </c>
      <c r="K33" s="158">
        <v>51.14</v>
      </c>
      <c r="L33" s="158">
        <f>#N/A</f>
        <v>24.090000000000003</v>
      </c>
      <c r="M33" s="210">
        <f>F33/K33</f>
        <v>1.4710598357450138</v>
      </c>
      <c r="N33" s="157">
        <f>E33-квітень!E33</f>
        <v>12</v>
      </c>
      <c r="O33" s="160">
        <f>F33-квітень!F33</f>
        <v>22.820000000000007</v>
      </c>
      <c r="P33" s="161">
        <f>#N/A</f>
        <v>10.820000000000007</v>
      </c>
      <c r="Q33" s="158">
        <f>O33/N33*100</f>
        <v>190.16666666666674</v>
      </c>
      <c r="R33" s="107">
        <v>7</v>
      </c>
      <c r="S33" s="100">
        <f>#N/A</f>
        <v>15.820000000000007</v>
      </c>
      <c r="T33" s="107"/>
      <c r="U33" s="108"/>
    </row>
    <row r="34" spans="1:21" s="6" customFormat="1" ht="30.75">
      <c r="A34" s="8"/>
      <c r="B34" s="225" t="s">
        <v>83</v>
      </c>
      <c r="C34" s="114">
        <v>18040000</v>
      </c>
      <c r="D34" s="150"/>
      <c r="E34" s="150"/>
      <c r="F34" s="156">
        <v>-26.77</v>
      </c>
      <c r="G34" s="150">
        <f>#N/A</f>
        <v>-26.77</v>
      </c>
      <c r="H34" s="157"/>
      <c r="I34" s="158">
        <f>#N/A</f>
        <v>-26.77</v>
      </c>
      <c r="J34" s="158"/>
      <c r="K34" s="158">
        <v>-109.72</v>
      </c>
      <c r="L34" s="158">
        <f>#N/A</f>
        <v>82.95</v>
      </c>
      <c r="M34" s="210">
        <f>F34/K34</f>
        <v>0.24398468829748451</v>
      </c>
      <c r="N34" s="157">
        <f>E34-квітень!E34</f>
        <v>0</v>
      </c>
      <c r="O34" s="160">
        <f>F34-квітень!F34</f>
        <v>0.5800000000000018</v>
      </c>
      <c r="P34" s="161">
        <f>#N/A</f>
        <v>0.5800000000000018</v>
      </c>
      <c r="Q34" s="158"/>
      <c r="R34" s="107"/>
      <c r="S34" s="100">
        <f>#N/A</f>
        <v>0.5800000000000018</v>
      </c>
      <c r="T34" s="107"/>
      <c r="U34" s="108"/>
    </row>
    <row r="35" spans="1:21" s="6" customFormat="1" ht="18">
      <c r="A35" s="8"/>
      <c r="B35" s="44" t="s">
        <v>84</v>
      </c>
      <c r="C35" s="114">
        <v>18050000</v>
      </c>
      <c r="D35" s="162">
        <v>194394.1</v>
      </c>
      <c r="E35" s="162">
        <v>94305.7</v>
      </c>
      <c r="F35" s="163">
        <v>96524.99</v>
      </c>
      <c r="G35" s="162">
        <f>#N/A</f>
        <v>2219.290000000008</v>
      </c>
      <c r="H35" s="164">
        <f>#N/A</f>
        <v>102.35329359731173</v>
      </c>
      <c r="I35" s="165">
        <f>#N/A</f>
        <v>-97869.11</v>
      </c>
      <c r="J35" s="165">
        <f>#N/A</f>
        <v>49.65427963091473</v>
      </c>
      <c r="K35" s="178">
        <v>68766.7</v>
      </c>
      <c r="L35" s="178">
        <f>F35-K35</f>
        <v>27758.290000000008</v>
      </c>
      <c r="M35" s="226">
        <f>F35/K35</f>
        <v>1.4036588930398</v>
      </c>
      <c r="N35" s="157">
        <f>E35-квітень!E35</f>
        <v>22700</v>
      </c>
      <c r="O35" s="160">
        <f>F35-квітень!F35</f>
        <v>22917.95000000001</v>
      </c>
      <c r="P35" s="167">
        <f>#N/A</f>
        <v>217.95000000001164</v>
      </c>
      <c r="Q35" s="165">
        <f>O35/N35*100</f>
        <v>100.96013215859037</v>
      </c>
      <c r="R35" s="283">
        <v>22700</v>
      </c>
      <c r="S35" s="291">
        <f>#N/A</f>
        <v>217.95000000001164</v>
      </c>
      <c r="T35" s="107"/>
      <c r="U35" s="108"/>
    </row>
    <row r="36" spans="1:21" s="6" customFormat="1" ht="15" customHeight="1" hidden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0.01</v>
      </c>
      <c r="G36" s="103">
        <f>#N/A</f>
        <v>0.01</v>
      </c>
      <c r="H36" s="105"/>
      <c r="I36" s="104">
        <f>#N/A</f>
        <v>0.01</v>
      </c>
      <c r="J36" s="104"/>
      <c r="K36" s="127">
        <v>0.18</v>
      </c>
      <c r="L36" s="127">
        <f>#N/A</f>
        <v>-0.16999999999999998</v>
      </c>
      <c r="M36" s="216">
        <f>#N/A</f>
        <v>0.05555555555555556</v>
      </c>
      <c r="N36" s="105">
        <f>E36-квітень!E36</f>
        <v>0</v>
      </c>
      <c r="O36" s="144">
        <f>F36-квітень!F36</f>
        <v>0.01</v>
      </c>
      <c r="P36" s="106">
        <f>#N/A</f>
        <v>0.01</v>
      </c>
      <c r="Q36" s="104"/>
      <c r="R36" s="107"/>
      <c r="S36" s="107"/>
      <c r="T36" s="107"/>
      <c r="U36" s="108"/>
    </row>
    <row r="37" spans="1:21" s="6" customFormat="1" ht="15" customHeight="1" hidden="1">
      <c r="A37" s="8"/>
      <c r="B37" s="50" t="s">
        <v>91</v>
      </c>
      <c r="C37" s="102">
        <v>18050300</v>
      </c>
      <c r="D37" s="103">
        <v>41000</v>
      </c>
      <c r="E37" s="103">
        <v>18920</v>
      </c>
      <c r="F37" s="140">
        <v>19261.69</v>
      </c>
      <c r="G37" s="103">
        <f>#N/A</f>
        <v>341.6899999999987</v>
      </c>
      <c r="H37" s="105">
        <f>#N/A</f>
        <v>101.80597251585624</v>
      </c>
      <c r="I37" s="104">
        <f>#N/A</f>
        <v>-21738.31</v>
      </c>
      <c r="J37" s="104">
        <f>#N/A</f>
        <v>46.97973170731707</v>
      </c>
      <c r="K37" s="127">
        <v>17552.06</v>
      </c>
      <c r="L37" s="127">
        <f>#N/A</f>
        <v>1709.6299999999974</v>
      </c>
      <c r="M37" s="216">
        <f>#N/A</f>
        <v>1.0974033817113202</v>
      </c>
      <c r="N37" s="105">
        <f>E37-квітень!E37</f>
        <v>5700</v>
      </c>
      <c r="O37" s="144">
        <f>F37-квітень!F37</f>
        <v>5263.269999999999</v>
      </c>
      <c r="P37" s="106">
        <f>#N/A</f>
        <v>-436.7300000000014</v>
      </c>
      <c r="Q37" s="104">
        <f>O37/N37*100</f>
        <v>92.33807017543857</v>
      </c>
      <c r="R37" s="107"/>
      <c r="S37" s="107"/>
      <c r="T37" s="107"/>
      <c r="U37" s="108"/>
    </row>
    <row r="38" spans="1:21" s="6" customFormat="1" ht="15" customHeight="1" hidden="1">
      <c r="A38" s="8"/>
      <c r="B38" s="50" t="s">
        <v>92</v>
      </c>
      <c r="C38" s="102">
        <v>18050400</v>
      </c>
      <c r="D38" s="103">
        <v>153339.1</v>
      </c>
      <c r="E38" s="103">
        <v>75360</v>
      </c>
      <c r="F38" s="140">
        <v>77240.19</v>
      </c>
      <c r="G38" s="103">
        <f>#N/A</f>
        <v>1880.1900000000023</v>
      </c>
      <c r="H38" s="105">
        <f>#N/A</f>
        <v>102.49494426751593</v>
      </c>
      <c r="I38" s="104">
        <f>#N/A</f>
        <v>-76098.91</v>
      </c>
      <c r="J38" s="104">
        <f>#N/A</f>
        <v>50.37214252594413</v>
      </c>
      <c r="K38" s="127">
        <v>51200.46</v>
      </c>
      <c r="L38" s="127">
        <f>#N/A</f>
        <v>26039.730000000003</v>
      </c>
      <c r="M38" s="216">
        <f>#N/A</f>
        <v>1.5085839072539584</v>
      </c>
      <c r="N38" s="105">
        <f>E38-квітень!E38</f>
        <v>17000</v>
      </c>
      <c r="O38" s="144">
        <f>F38-квітень!F38</f>
        <v>17654.670000000006</v>
      </c>
      <c r="P38" s="106">
        <f>#N/A</f>
        <v>654.6700000000055</v>
      </c>
      <c r="Q38" s="104">
        <f>O38/N38*100</f>
        <v>103.85100000000003</v>
      </c>
      <c r="R38" s="107"/>
      <c r="S38" s="107"/>
      <c r="T38" s="107"/>
      <c r="U38" s="108"/>
    </row>
    <row r="39" spans="1:21" s="6" customFormat="1" ht="15" customHeight="1" hidden="1">
      <c r="A39" s="8"/>
      <c r="B39" s="50" t="s">
        <v>93</v>
      </c>
      <c r="C39" s="102">
        <v>18050500</v>
      </c>
      <c r="D39" s="103">
        <v>55</v>
      </c>
      <c r="E39" s="103">
        <v>25.7</v>
      </c>
      <c r="F39" s="140">
        <v>23.09</v>
      </c>
      <c r="G39" s="103">
        <f>#N/A</f>
        <v>-2.6099999999999994</v>
      </c>
      <c r="H39" s="105">
        <f>#N/A</f>
        <v>89.8443579766537</v>
      </c>
      <c r="I39" s="104">
        <f>#N/A</f>
        <v>-31.91</v>
      </c>
      <c r="J39" s="104">
        <f>#N/A</f>
        <v>41.981818181818184</v>
      </c>
      <c r="K39" s="127">
        <v>14.01</v>
      </c>
      <c r="L39" s="127">
        <f>#N/A</f>
        <v>9.08</v>
      </c>
      <c r="M39" s="216">
        <f>#N/A</f>
        <v>1.6481084939329051</v>
      </c>
      <c r="N39" s="105">
        <f>E39-квітень!E39</f>
        <v>0</v>
      </c>
      <c r="O39" s="144">
        <f>F39-квітень!F39</f>
        <v>0</v>
      </c>
      <c r="P39" s="106">
        <f>#N/A</f>
        <v>0</v>
      </c>
      <c r="Q39" s="104"/>
      <c r="R39" s="107"/>
      <c r="S39" s="107"/>
      <c r="T39" s="107"/>
      <c r="U39" s="108"/>
    </row>
    <row r="40" spans="1:21" s="6" customFormat="1" ht="15" customHeight="1">
      <c r="A40" s="8"/>
      <c r="B40" s="232" t="s">
        <v>206</v>
      </c>
      <c r="C40" s="43">
        <v>220102</v>
      </c>
      <c r="D40" s="34">
        <v>0</v>
      </c>
      <c r="E40" s="34">
        <v>0</v>
      </c>
      <c r="F40" s="290">
        <v>0.35</v>
      </c>
      <c r="G40" s="34">
        <f>#N/A</f>
        <v>0.35</v>
      </c>
      <c r="H40" s="30"/>
      <c r="I40" s="37">
        <f>#N/A</f>
        <v>0.35</v>
      </c>
      <c r="J40" s="37"/>
      <c r="K40" s="119">
        <v>0</v>
      </c>
      <c r="L40" s="119">
        <f>#N/A</f>
        <v>0.35</v>
      </c>
      <c r="M40" s="217" t="e">
        <f>#N/A</f>
        <v>#DIV/0!</v>
      </c>
      <c r="N40" s="157">
        <f>E40-квітень!E40</f>
        <v>0</v>
      </c>
      <c r="O40" s="160">
        <f>F40-квітень!F40</f>
        <v>0.35</v>
      </c>
      <c r="P40" s="36">
        <f>#N/A</f>
        <v>0.35</v>
      </c>
      <c r="Q40" s="37"/>
      <c r="R40" s="107"/>
      <c r="S40" s="107"/>
      <c r="T40" s="107"/>
      <c r="U40" s="108"/>
    </row>
    <row r="41" spans="1:21" s="6" customFormat="1" ht="17.25">
      <c r="A41" s="7"/>
      <c r="B41" s="16" t="s">
        <v>12</v>
      </c>
      <c r="C41" s="70">
        <v>20000000</v>
      </c>
      <c r="D41" s="151">
        <f>D42+D43+D44+D45+D46+D48+D50+D51+D52+D53+D54+D59+D60+D64+D47</f>
        <v>59025</v>
      </c>
      <c r="E41" s="151">
        <f>E42+E43+E44+E45+E46+E48+E50+E51+E52+E53+E54+E59+E60+E64+E47</f>
        <v>24797.3</v>
      </c>
      <c r="F41" s="287">
        <f>F42+F43+F44+F45+F46+F48+F50+F51+F52+F53+F54+F59+F60+F64+F47+F40</f>
        <v>27355.109999999993</v>
      </c>
      <c r="G41" s="151">
        <f>G42+G43+G44+G45+G46+G48+G50+G51+G52+G53+G54+G59+G60+G64</f>
        <v>2597.25</v>
      </c>
      <c r="H41" s="152">
        <f>F41/E41*100</f>
        <v>110.31487299020455</v>
      </c>
      <c r="I41" s="153">
        <f>F41-D41</f>
        <v>-31669.890000000007</v>
      </c>
      <c r="J41" s="153">
        <f>F41/D41*100</f>
        <v>46.34495552731892</v>
      </c>
      <c r="K41" s="151">
        <v>22840.42</v>
      </c>
      <c r="L41" s="151">
        <f>#N/A</f>
        <v>4514.689999999995</v>
      </c>
      <c r="M41" s="205">
        <f>#N/A</f>
        <v>1.1976623021818336</v>
      </c>
      <c r="N41" s="151">
        <f>N42+N43+N44+N45+N46+N48+N50+N51+N52+N53+N54+N59+N60+N64+N47</f>
        <v>5362.8</v>
      </c>
      <c r="O41" s="151">
        <f>O42+O43+O44+O45+O46+O48+O50+O51+O52+O53+O54+O59+O60+O64+O47+O40</f>
        <v>7917.213999999998</v>
      </c>
      <c r="P41" s="151">
        <f>P42+P43+P44+P45+P46+P48+P50+P51+P52+P53+P54+P59+P60+P64</f>
        <v>2560.8639999999996</v>
      </c>
      <c r="Q41" s="151">
        <f>O41/N41*100</f>
        <v>147.6320951741627</v>
      </c>
      <c r="R41" s="15">
        <f>R42+R43+R44+R45+R46+R47+R48+R50+R51+R52+R53+R54+R59+R60+R64</f>
        <v>5273.700000000001</v>
      </c>
      <c r="S41" s="15">
        <f>O41-R41</f>
        <v>2643.5139999999974</v>
      </c>
      <c r="T41" s="15"/>
      <c r="U41" s="15" t="e">
        <f>#N/A</f>
        <v>#N/A</v>
      </c>
    </row>
    <row r="42" spans="1:21" s="6" customFormat="1" ht="46.5">
      <c r="A42" s="8"/>
      <c r="B42" s="44" t="s">
        <v>98</v>
      </c>
      <c r="C42" s="43">
        <v>21010301</v>
      </c>
      <c r="D42" s="150">
        <v>580</v>
      </c>
      <c r="E42" s="150">
        <v>260</v>
      </c>
      <c r="F42" s="156">
        <v>2204.77</v>
      </c>
      <c r="G42" s="162">
        <f>F42-E42</f>
        <v>1944.77</v>
      </c>
      <c r="H42" s="164">
        <f>#N/A</f>
        <v>847.9884615384615</v>
      </c>
      <c r="I42" s="165">
        <f>F42-D42</f>
        <v>1624.77</v>
      </c>
      <c r="J42" s="165">
        <f>F42/D42*100</f>
        <v>380.13275862068963</v>
      </c>
      <c r="K42" s="165">
        <v>240.17</v>
      </c>
      <c r="L42" s="165">
        <f>#N/A</f>
        <v>1964.6</v>
      </c>
      <c r="M42" s="218">
        <f>#N/A</f>
        <v>9.180039138943249</v>
      </c>
      <c r="N42" s="164">
        <f>E42-квітень!E42</f>
        <v>180</v>
      </c>
      <c r="O42" s="168">
        <f>F42-квітень!F42</f>
        <v>2385.63</v>
      </c>
      <c r="P42" s="167">
        <f>O42-N42</f>
        <v>2205.63</v>
      </c>
      <c r="Q42" s="165">
        <f>#N/A</f>
        <v>1325.3500000000001</v>
      </c>
      <c r="R42" s="292">
        <v>420</v>
      </c>
      <c r="S42" s="292">
        <f>O42-R42</f>
        <v>1965.63</v>
      </c>
      <c r="T42" s="37"/>
      <c r="U42" s="94"/>
    </row>
    <row r="43" spans="1:21" s="6" customFormat="1" ht="30.75">
      <c r="A43" s="8"/>
      <c r="B43" s="129" t="s">
        <v>77</v>
      </c>
      <c r="C43" s="42">
        <v>21050000</v>
      </c>
      <c r="D43" s="150">
        <v>30000</v>
      </c>
      <c r="E43" s="150">
        <v>10900</v>
      </c>
      <c r="F43" s="156">
        <v>10479.16</v>
      </c>
      <c r="G43" s="162">
        <f>#N/A</f>
        <v>-420.84000000000015</v>
      </c>
      <c r="H43" s="164">
        <f>#N/A</f>
        <v>96.13908256880734</v>
      </c>
      <c r="I43" s="165">
        <f>#N/A</f>
        <v>-19520.84</v>
      </c>
      <c r="J43" s="165">
        <f>F43/D43*100</f>
        <v>34.93053333333333</v>
      </c>
      <c r="K43" s="165">
        <v>10098.73</v>
      </c>
      <c r="L43" s="165">
        <f>#N/A</f>
        <v>380.4300000000003</v>
      </c>
      <c r="M43" s="218"/>
      <c r="N43" s="164">
        <f>E43-квітень!E43</f>
        <v>2800</v>
      </c>
      <c r="O43" s="168">
        <f>F43-квітень!F43</f>
        <v>2672.2969999999996</v>
      </c>
      <c r="P43" s="167">
        <f>#N/A</f>
        <v>-127.70300000000043</v>
      </c>
      <c r="Q43" s="165">
        <f>#N/A</f>
        <v>95.43917857142856</v>
      </c>
      <c r="R43" s="37">
        <v>2672.3</v>
      </c>
      <c r="S43" s="37">
        <f>#N/A</f>
        <v>-0.0030000000006111804</v>
      </c>
      <c r="T43" s="37"/>
      <c r="U43" s="94"/>
    </row>
    <row r="44" spans="1:21" s="6" customFormat="1" ht="18">
      <c r="A44" s="8"/>
      <c r="B44" s="129" t="s">
        <v>61</v>
      </c>
      <c r="C44" s="42">
        <v>21080500</v>
      </c>
      <c r="D44" s="150">
        <v>40</v>
      </c>
      <c r="E44" s="150">
        <v>21</v>
      </c>
      <c r="F44" s="156">
        <v>92.8</v>
      </c>
      <c r="G44" s="162">
        <f>#N/A</f>
        <v>71.8</v>
      </c>
      <c r="H44" s="164">
        <f>F44/E44*100</f>
        <v>441.9047619047619</v>
      </c>
      <c r="I44" s="165">
        <f>#N/A</f>
        <v>52.8</v>
      </c>
      <c r="J44" s="165">
        <f>#N/A</f>
        <v>231.99999999999997</v>
      </c>
      <c r="K44" s="165">
        <v>27.51</v>
      </c>
      <c r="L44" s="165">
        <f>#N/A</f>
        <v>65.28999999999999</v>
      </c>
      <c r="M44" s="218">
        <f>#N/A</f>
        <v>3.373318793166121</v>
      </c>
      <c r="N44" s="164">
        <f>E44-квітень!E44</f>
        <v>1</v>
      </c>
      <c r="O44" s="168">
        <f>F44-квітень!F44</f>
        <v>9.99799999999999</v>
      </c>
      <c r="P44" s="167">
        <f>#N/A</f>
        <v>8.99799999999999</v>
      </c>
      <c r="Q44" s="165">
        <f>#N/A</f>
        <v>999.799999999999</v>
      </c>
      <c r="R44" s="37">
        <v>1</v>
      </c>
      <c r="S44" s="37">
        <f>#N/A</f>
        <v>8.99799999999999</v>
      </c>
      <c r="T44" s="37"/>
      <c r="U44" s="94"/>
    </row>
    <row r="45" spans="1:21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2.03</v>
      </c>
      <c r="G45" s="162">
        <f>#N/A</f>
        <v>2.03</v>
      </c>
      <c r="H45" s="164" t="e">
        <f>F45/E45*100</f>
        <v>#DIV/0!</v>
      </c>
      <c r="I45" s="165">
        <f>#N/A</f>
        <v>2.03</v>
      </c>
      <c r="J45" s="165" t="e">
        <f>#N/A</f>
        <v>#DIV/0!</v>
      </c>
      <c r="K45" s="165">
        <v>0.1</v>
      </c>
      <c r="L45" s="165">
        <f>#N/A</f>
        <v>1.9299999999999997</v>
      </c>
      <c r="M45" s="218">
        <f>#N/A</f>
        <v>20.299999999999997</v>
      </c>
      <c r="N45" s="164">
        <f>E45-квітень!E45</f>
        <v>0</v>
      </c>
      <c r="O45" s="168">
        <f>F45-квітень!F45</f>
        <v>0</v>
      </c>
      <c r="P45" s="167">
        <f>#N/A</f>
        <v>0</v>
      </c>
      <c r="Q45" s="165" t="e">
        <f>#N/A</f>
        <v>#DIV/0!</v>
      </c>
      <c r="R45" s="37">
        <v>0</v>
      </c>
      <c r="S45" s="37">
        <f>#N/A</f>
        <v>0</v>
      </c>
      <c r="T45" s="37"/>
      <c r="U45" s="94"/>
    </row>
    <row r="46" spans="1:21" s="6" customFormat="1" ht="18">
      <c r="A46" s="8"/>
      <c r="B46" s="130" t="s">
        <v>16</v>
      </c>
      <c r="C46" s="72">
        <v>21081100</v>
      </c>
      <c r="D46" s="150">
        <v>260</v>
      </c>
      <c r="E46" s="150">
        <v>106</v>
      </c>
      <c r="F46" s="156">
        <v>442.26</v>
      </c>
      <c r="G46" s="162">
        <f>#N/A</f>
        <v>336.26</v>
      </c>
      <c r="H46" s="164">
        <f>#N/A</f>
        <v>417.2264150943396</v>
      </c>
      <c r="I46" s="165">
        <f>#N/A</f>
        <v>182.26</v>
      </c>
      <c r="J46" s="165">
        <f>#N/A</f>
        <v>170.1</v>
      </c>
      <c r="K46" s="165">
        <v>50.4</v>
      </c>
      <c r="L46" s="165">
        <f>#N/A</f>
        <v>391.86</v>
      </c>
      <c r="M46" s="218">
        <f>#N/A</f>
        <v>8.775</v>
      </c>
      <c r="N46" s="164">
        <f>E46-квітень!E46</f>
        <v>22</v>
      </c>
      <c r="O46" s="168">
        <f>F46-квітень!F46</f>
        <v>47.77699999999999</v>
      </c>
      <c r="P46" s="167">
        <f>#N/A</f>
        <v>25.776999999999987</v>
      </c>
      <c r="Q46" s="165">
        <f>#N/A</f>
        <v>217.16818181818175</v>
      </c>
      <c r="R46" s="37">
        <v>22</v>
      </c>
      <c r="S46" s="37">
        <f>#N/A</f>
        <v>25.776999999999987</v>
      </c>
      <c r="T46" s="37"/>
      <c r="U46" s="94"/>
    </row>
    <row r="47" spans="1:21" s="6" customFormat="1" ht="46.5">
      <c r="A47" s="8"/>
      <c r="B47" s="130" t="s">
        <v>80</v>
      </c>
      <c r="C47" s="72">
        <v>21081500</v>
      </c>
      <c r="D47" s="150">
        <v>97.5</v>
      </c>
      <c r="E47" s="150">
        <v>40.8</v>
      </c>
      <c r="F47" s="156">
        <v>1.01</v>
      </c>
      <c r="G47" s="162">
        <f>#N/A</f>
        <v>-39.79</v>
      </c>
      <c r="H47" s="164">
        <f>#N/A</f>
        <v>2.4754901960784315</v>
      </c>
      <c r="I47" s="165">
        <f>#N/A</f>
        <v>-96.49</v>
      </c>
      <c r="J47" s="165">
        <f>#N/A</f>
        <v>1.035897435897436</v>
      </c>
      <c r="K47" s="165">
        <v>6.8</v>
      </c>
      <c r="L47" s="165">
        <f>#N/A</f>
        <v>-5.79</v>
      </c>
      <c r="M47" s="218"/>
      <c r="N47" s="164">
        <f>E47-квітень!E47</f>
        <v>6.799999999999997</v>
      </c>
      <c r="O47" s="168">
        <f>F47-квітень!F47</f>
        <v>0</v>
      </c>
      <c r="P47" s="167">
        <f>#N/A</f>
        <v>-6.799999999999997</v>
      </c>
      <c r="Q47" s="165">
        <f>#N/A</f>
        <v>0</v>
      </c>
      <c r="R47" s="37">
        <v>6.8</v>
      </c>
      <c r="S47" s="37">
        <f>#N/A</f>
        <v>-6.8</v>
      </c>
      <c r="T47" s="37"/>
      <c r="U47" s="94"/>
    </row>
    <row r="48" spans="1:21" s="6" customFormat="1" ht="30.75">
      <c r="A48" s="8"/>
      <c r="B48" s="148" t="s">
        <v>105</v>
      </c>
      <c r="C48" s="49">
        <v>22010300</v>
      </c>
      <c r="D48" s="150">
        <v>730</v>
      </c>
      <c r="E48" s="150">
        <v>400</v>
      </c>
      <c r="F48" s="156">
        <v>505.13</v>
      </c>
      <c r="G48" s="162">
        <f>#N/A</f>
        <v>105.13</v>
      </c>
      <c r="H48" s="164">
        <f>#N/A</f>
        <v>126.28250000000001</v>
      </c>
      <c r="I48" s="165">
        <f>#N/A</f>
        <v>-224.87</v>
      </c>
      <c r="J48" s="165">
        <f>#N/A</f>
        <v>69.19589041095891</v>
      </c>
      <c r="K48" s="165">
        <v>76.33</v>
      </c>
      <c r="L48" s="165">
        <f>#N/A</f>
        <v>428.8</v>
      </c>
      <c r="M48" s="218"/>
      <c r="N48" s="164">
        <f>E48-квітень!E48</f>
        <v>60</v>
      </c>
      <c r="O48" s="168">
        <f>F48-квітень!F48</f>
        <v>111.65999999999997</v>
      </c>
      <c r="P48" s="167">
        <f>#N/A</f>
        <v>51.65999999999997</v>
      </c>
      <c r="Q48" s="165">
        <f>#N/A</f>
        <v>186.09999999999997</v>
      </c>
      <c r="R48" s="37">
        <v>60</v>
      </c>
      <c r="S48" s="37">
        <f>#N/A</f>
        <v>51.65999999999997</v>
      </c>
      <c r="T48" s="37"/>
      <c r="U48" s="94"/>
    </row>
    <row r="49" spans="1:21" s="6" customFormat="1" ht="18" hidden="1">
      <c r="A49" s="8"/>
      <c r="B49" s="130"/>
      <c r="C49" s="49"/>
      <c r="D49" s="150"/>
      <c r="E49" s="150"/>
      <c r="F49" s="156"/>
      <c r="G49" s="162"/>
      <c r="H49" s="164"/>
      <c r="I49" s="165"/>
      <c r="J49" s="165"/>
      <c r="K49" s="165"/>
      <c r="L49" s="165">
        <f>#N/A</f>
        <v>0</v>
      </c>
      <c r="M49" s="218" t="e">
        <f>#N/A</f>
        <v>#DIV/0!</v>
      </c>
      <c r="N49" s="164">
        <f>E49-квітень!E49</f>
        <v>0</v>
      </c>
      <c r="O49" s="168">
        <f>F49-квітень!F49</f>
        <v>0</v>
      </c>
      <c r="P49" s="167"/>
      <c r="Q49" s="165"/>
      <c r="R49" s="37"/>
      <c r="S49" s="37">
        <f>#N/A</f>
        <v>0</v>
      </c>
      <c r="T49" s="37"/>
      <c r="U49" s="94"/>
    </row>
    <row r="50" spans="1:21" s="6" customFormat="1" ht="18">
      <c r="A50" s="8"/>
      <c r="B50" s="33" t="s">
        <v>78</v>
      </c>
      <c r="C50" s="72">
        <v>22012500</v>
      </c>
      <c r="D50" s="150">
        <v>11000</v>
      </c>
      <c r="E50" s="150">
        <v>5140</v>
      </c>
      <c r="F50" s="156">
        <v>6250.27</v>
      </c>
      <c r="G50" s="162">
        <f>#N/A</f>
        <v>1110.2700000000004</v>
      </c>
      <c r="H50" s="164">
        <f>#N/A</f>
        <v>121.60058365758755</v>
      </c>
      <c r="I50" s="165">
        <f>#N/A</f>
        <v>-4749.73</v>
      </c>
      <c r="J50" s="165">
        <f>#N/A</f>
        <v>56.82063636363637</v>
      </c>
      <c r="K50" s="165">
        <v>4057.41</v>
      </c>
      <c r="L50" s="165">
        <f>#N/A</f>
        <v>2192.8600000000006</v>
      </c>
      <c r="M50" s="218">
        <f>#N/A</f>
        <v>1.5404580754717914</v>
      </c>
      <c r="N50" s="164">
        <f>E50-квітень!E50</f>
        <v>900</v>
      </c>
      <c r="O50" s="168">
        <f>F50-квітень!F50</f>
        <v>1568.7600000000002</v>
      </c>
      <c r="P50" s="167">
        <f>#N/A</f>
        <v>668.7600000000002</v>
      </c>
      <c r="Q50" s="165">
        <f>#N/A</f>
        <v>174.3066666666667</v>
      </c>
      <c r="R50" s="37">
        <v>1000</v>
      </c>
      <c r="S50" s="37">
        <f>#N/A</f>
        <v>568.7600000000002</v>
      </c>
      <c r="T50" s="37"/>
      <c r="U50" s="94"/>
    </row>
    <row r="51" spans="1:21" s="6" customFormat="1" ht="31.5">
      <c r="A51" s="8"/>
      <c r="B51" s="149" t="s">
        <v>99</v>
      </c>
      <c r="C51" s="72">
        <v>22012600</v>
      </c>
      <c r="D51" s="150">
        <v>310</v>
      </c>
      <c r="E51" s="150">
        <v>125</v>
      </c>
      <c r="F51" s="156">
        <v>216.35</v>
      </c>
      <c r="G51" s="162">
        <f>#N/A</f>
        <v>91.35</v>
      </c>
      <c r="H51" s="164">
        <f>#N/A</f>
        <v>173.07999999999998</v>
      </c>
      <c r="I51" s="165">
        <f>#N/A</f>
        <v>-93.65</v>
      </c>
      <c r="J51" s="165">
        <f>#N/A</f>
        <v>69.79032258064515</v>
      </c>
      <c r="K51" s="165">
        <v>33.93</v>
      </c>
      <c r="L51" s="165">
        <f>#N/A</f>
        <v>182.42</v>
      </c>
      <c r="M51" s="218"/>
      <c r="N51" s="164">
        <f>E51-квітень!E51</f>
        <v>25</v>
      </c>
      <c r="O51" s="168">
        <f>F51-квітень!F51</f>
        <v>40.97999999999999</v>
      </c>
      <c r="P51" s="167">
        <f>#N/A</f>
        <v>15.97999999999999</v>
      </c>
      <c r="Q51" s="165">
        <f>#N/A</f>
        <v>163.91999999999996</v>
      </c>
      <c r="R51" s="37">
        <v>25</v>
      </c>
      <c r="S51" s="37">
        <f>#N/A</f>
        <v>15.97999999999999</v>
      </c>
      <c r="T51" s="37"/>
      <c r="U51" s="94"/>
    </row>
    <row r="52" spans="1:21" s="6" customFormat="1" ht="31.5">
      <c r="A52" s="8"/>
      <c r="B52" s="149" t="s">
        <v>106</v>
      </c>
      <c r="C52" s="72">
        <v>22012900</v>
      </c>
      <c r="D52" s="150">
        <v>20</v>
      </c>
      <c r="E52" s="150">
        <v>7</v>
      </c>
      <c r="F52" s="156">
        <v>12.32</v>
      </c>
      <c r="G52" s="162">
        <f>#N/A</f>
        <v>5.32</v>
      </c>
      <c r="H52" s="164">
        <f>#N/A</f>
        <v>176</v>
      </c>
      <c r="I52" s="165">
        <f>#N/A</f>
        <v>-7.68</v>
      </c>
      <c r="J52" s="165">
        <f>#N/A</f>
        <v>61.6</v>
      </c>
      <c r="K52" s="165">
        <v>7.72</v>
      </c>
      <c r="L52" s="165">
        <f>#N/A</f>
        <v>4.6000000000000005</v>
      </c>
      <c r="M52" s="218"/>
      <c r="N52" s="164">
        <f>E52-квітень!E52</f>
        <v>3</v>
      </c>
      <c r="O52" s="168">
        <f>F52-квітень!F52</f>
        <v>0.9600000000000009</v>
      </c>
      <c r="P52" s="167">
        <f>#N/A</f>
        <v>-2.039999999999999</v>
      </c>
      <c r="Q52" s="165">
        <f>#N/A</f>
        <v>32.00000000000003</v>
      </c>
      <c r="R52" s="37">
        <v>3</v>
      </c>
      <c r="S52" s="37">
        <f>#N/A</f>
        <v>-2.039999999999999</v>
      </c>
      <c r="T52" s="37"/>
      <c r="U52" s="94"/>
    </row>
    <row r="53" spans="1:21" s="6" customFormat="1" ht="30.75">
      <c r="A53" s="8"/>
      <c r="B53" s="130" t="s">
        <v>14</v>
      </c>
      <c r="C53" s="49">
        <v>22080400</v>
      </c>
      <c r="D53" s="150">
        <v>7275</v>
      </c>
      <c r="E53" s="150">
        <v>3040</v>
      </c>
      <c r="F53" s="156">
        <v>2721.32</v>
      </c>
      <c r="G53" s="162">
        <f>#N/A</f>
        <v>-318.67999999999984</v>
      </c>
      <c r="H53" s="164">
        <f>#N/A</f>
        <v>89.5171052631579</v>
      </c>
      <c r="I53" s="165">
        <f>#N/A</f>
        <v>-4553.68</v>
      </c>
      <c r="J53" s="165">
        <f>#N/A</f>
        <v>37.40646048109966</v>
      </c>
      <c r="K53" s="165">
        <v>3304.24</v>
      </c>
      <c r="L53" s="165">
        <f>#N/A</f>
        <v>-582.9199999999996</v>
      </c>
      <c r="M53" s="218">
        <f>#N/A</f>
        <v>0.823584243275307</v>
      </c>
      <c r="N53" s="164">
        <f>E53-квітень!E53</f>
        <v>610</v>
      </c>
      <c r="O53" s="168">
        <f>F53-квітень!F53</f>
        <v>533.6179999999999</v>
      </c>
      <c r="P53" s="167">
        <f>#N/A</f>
        <v>-76.38200000000006</v>
      </c>
      <c r="Q53" s="165">
        <f>#N/A</f>
        <v>87.4783606557377</v>
      </c>
      <c r="R53" s="37">
        <v>533.6</v>
      </c>
      <c r="S53" s="37">
        <f>#N/A</f>
        <v>0.017999999999915417</v>
      </c>
      <c r="T53" s="37"/>
      <c r="U53" s="94"/>
    </row>
    <row r="54" spans="1:21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475</v>
      </c>
      <c r="F54" s="156">
        <v>333.52</v>
      </c>
      <c r="G54" s="162">
        <f>#N/A</f>
        <v>-141.48000000000002</v>
      </c>
      <c r="H54" s="164">
        <f>#N/A</f>
        <v>70.21473684210527</v>
      </c>
      <c r="I54" s="165">
        <f>#N/A</f>
        <v>-866.48</v>
      </c>
      <c r="J54" s="165">
        <f>#N/A</f>
        <v>27.79333333333333</v>
      </c>
      <c r="K54" s="165">
        <v>2573.46</v>
      </c>
      <c r="L54" s="165">
        <f>#N/A</f>
        <v>-2239.94</v>
      </c>
      <c r="M54" s="218">
        <f>#N/A</f>
        <v>0.12959983834992578</v>
      </c>
      <c r="N54" s="164">
        <f>E54-квітень!E54</f>
        <v>145</v>
      </c>
      <c r="O54" s="168">
        <f>F54-квітень!F54</f>
        <v>44.25799999999998</v>
      </c>
      <c r="P54" s="167">
        <f>#N/A</f>
        <v>-100.74200000000002</v>
      </c>
      <c r="Q54" s="165">
        <f>#N/A</f>
        <v>30.522758620689643</v>
      </c>
      <c r="R54" s="37">
        <v>70</v>
      </c>
      <c r="S54" s="37">
        <f>#N/A</f>
        <v>-25.74200000000002</v>
      </c>
      <c r="T54" s="37"/>
      <c r="U54" s="94"/>
    </row>
    <row r="55" spans="1:21" s="6" customFormat="1" ht="15" hidden="1">
      <c r="A55" s="8"/>
      <c r="B55" s="50" t="s">
        <v>97</v>
      </c>
      <c r="C55" s="123">
        <v>22090100</v>
      </c>
      <c r="D55" s="103">
        <v>998</v>
      </c>
      <c r="E55" s="103">
        <v>400</v>
      </c>
      <c r="F55" s="140">
        <v>290.38</v>
      </c>
      <c r="G55" s="34">
        <f>#N/A</f>
        <v>-109.62</v>
      </c>
      <c r="H55" s="30">
        <f>#N/A</f>
        <v>72.595</v>
      </c>
      <c r="I55" s="104">
        <f>#N/A</f>
        <v>-707.62</v>
      </c>
      <c r="J55" s="104">
        <f>#N/A</f>
        <v>29.096192384769537</v>
      </c>
      <c r="K55" s="104">
        <v>367.55</v>
      </c>
      <c r="L55" s="104">
        <f>F55-K55</f>
        <v>-77.17000000000002</v>
      </c>
      <c r="M55" s="109">
        <f>#N/A</f>
        <v>0.7900421711331791</v>
      </c>
      <c r="N55" s="105">
        <f>E55-квітень!E55</f>
        <v>130</v>
      </c>
      <c r="O55" s="144">
        <f>F55-квітень!F55</f>
        <v>35</v>
      </c>
      <c r="P55" s="106">
        <f>#N/A</f>
        <v>-95</v>
      </c>
      <c r="Q55" s="119">
        <f>#N/A</f>
        <v>26.923076923076923</v>
      </c>
      <c r="R55" s="37"/>
      <c r="S55" s="37">
        <f>#N/A</f>
        <v>35</v>
      </c>
      <c r="T55" s="37"/>
      <c r="U55" s="94"/>
    </row>
    <row r="56" spans="1:21" s="6" customFormat="1" ht="15" hidden="1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0.15</v>
      </c>
      <c r="G56" s="34">
        <f>#N/A</f>
        <v>0.15</v>
      </c>
      <c r="H56" s="30" t="e">
        <f>#N/A</f>
        <v>#DIV/0!</v>
      </c>
      <c r="I56" s="104">
        <f>#N/A</f>
        <v>-0.85</v>
      </c>
      <c r="J56" s="104">
        <f>#N/A</f>
        <v>15</v>
      </c>
      <c r="K56" s="104">
        <v>0.23</v>
      </c>
      <c r="L56" s="104">
        <f>F56-K56</f>
        <v>-0.08000000000000002</v>
      </c>
      <c r="M56" s="109">
        <f>#N/A</f>
        <v>0.6521739130434782</v>
      </c>
      <c r="N56" s="105">
        <f>E56-квітень!E56</f>
        <v>0</v>
      </c>
      <c r="O56" s="144">
        <f>F56-квітень!F56</f>
        <v>0.03</v>
      </c>
      <c r="P56" s="106">
        <f>#N/A</f>
        <v>0.03</v>
      </c>
      <c r="Q56" s="119" t="e">
        <f>#N/A</f>
        <v>#DIV/0!</v>
      </c>
      <c r="R56" s="37"/>
      <c r="S56" s="37">
        <f>#N/A</f>
        <v>0.03</v>
      </c>
      <c r="T56" s="37"/>
      <c r="U56" s="94"/>
    </row>
    <row r="57" spans="1:21" s="6" customFormat="1" ht="15" hidden="1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34">
        <f>#N/A</f>
        <v>0</v>
      </c>
      <c r="H57" s="30"/>
      <c r="I57" s="104">
        <f>#N/A</f>
        <v>-1</v>
      </c>
      <c r="J57" s="104">
        <f>#N/A</f>
        <v>0</v>
      </c>
      <c r="K57" s="104">
        <v>0.02</v>
      </c>
      <c r="L57" s="104">
        <f>F57-K57</f>
        <v>-0.02</v>
      </c>
      <c r="M57" s="109">
        <f>#N/A</f>
        <v>0</v>
      </c>
      <c r="N57" s="105">
        <f>E57-квітень!E57</f>
        <v>0</v>
      </c>
      <c r="O57" s="144">
        <f>F57-квітень!F57</f>
        <v>0</v>
      </c>
      <c r="P57" s="106">
        <f>#N/A</f>
        <v>0</v>
      </c>
      <c r="Q57" s="119"/>
      <c r="R57" s="37"/>
      <c r="S57" s="37">
        <f>#N/A</f>
        <v>0</v>
      </c>
      <c r="T57" s="37"/>
      <c r="U57" s="94"/>
    </row>
    <row r="58" spans="1:21" s="6" customFormat="1" ht="15" hidden="1">
      <c r="A58" s="8"/>
      <c r="B58" s="50" t="s">
        <v>96</v>
      </c>
      <c r="C58" s="123">
        <v>22090400</v>
      </c>
      <c r="D58" s="103">
        <v>200</v>
      </c>
      <c r="E58" s="103">
        <v>75</v>
      </c>
      <c r="F58" s="140">
        <v>43</v>
      </c>
      <c r="G58" s="34">
        <f>#N/A</f>
        <v>-32</v>
      </c>
      <c r="H58" s="30">
        <f>#N/A</f>
        <v>57.333333333333336</v>
      </c>
      <c r="I58" s="104">
        <f>#N/A</f>
        <v>-157</v>
      </c>
      <c r="J58" s="104">
        <f>#N/A</f>
        <v>21.5</v>
      </c>
      <c r="K58" s="104">
        <v>2205.67</v>
      </c>
      <c r="L58" s="104">
        <f>F58-K58</f>
        <v>-2162.67</v>
      </c>
      <c r="M58" s="109">
        <f>#N/A</f>
        <v>0.019495210072222952</v>
      </c>
      <c r="N58" s="105">
        <f>E58-квітень!E58</f>
        <v>15</v>
      </c>
      <c r="O58" s="144">
        <f>F58-квітень!F58</f>
        <v>9.229999999999997</v>
      </c>
      <c r="P58" s="106">
        <f>#N/A</f>
        <v>-5.770000000000003</v>
      </c>
      <c r="Q58" s="119">
        <f>#N/A</f>
        <v>61.53333333333332</v>
      </c>
      <c r="R58" s="37"/>
      <c r="S58" s="37">
        <f>#N/A</f>
        <v>9.229999999999997</v>
      </c>
      <c r="T58" s="37"/>
      <c r="U58" s="94"/>
    </row>
    <row r="59" spans="1:21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62">
        <f>#N/A</f>
        <v>-0.45999999999999996</v>
      </c>
      <c r="H59" s="164"/>
      <c r="I59" s="165">
        <f>#N/A</f>
        <v>-0.45999999999999996</v>
      </c>
      <c r="J59" s="165">
        <f>#N/A</f>
        <v>81.60000000000001</v>
      </c>
      <c r="K59" s="165">
        <v>2.46</v>
      </c>
      <c r="L59" s="165">
        <f>F59-K59</f>
        <v>-0.41999999999999993</v>
      </c>
      <c r="M59" s="218">
        <f>#N/A</f>
        <v>0.8292682926829269</v>
      </c>
      <c r="N59" s="164">
        <f>E59-квітень!E59</f>
        <v>0</v>
      </c>
      <c r="O59" s="168">
        <f>F59-квітень!F59</f>
        <v>0</v>
      </c>
      <c r="P59" s="167">
        <f>#N/A</f>
        <v>0</v>
      </c>
      <c r="Q59" s="165"/>
      <c r="R59" s="37">
        <v>0</v>
      </c>
      <c r="S59" s="37">
        <f>#N/A</f>
        <v>0</v>
      </c>
      <c r="T59" s="37"/>
      <c r="U59" s="94"/>
    </row>
    <row r="60" spans="1:21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v>4260</v>
      </c>
      <c r="F60" s="156">
        <v>4037.14</v>
      </c>
      <c r="G60" s="162">
        <f>#N/A</f>
        <v>-222.86000000000013</v>
      </c>
      <c r="H60" s="164">
        <f>#N/A</f>
        <v>94.76854460093897</v>
      </c>
      <c r="I60" s="165">
        <f>#N/A</f>
        <v>-3312.86</v>
      </c>
      <c r="J60" s="165">
        <f>#N/A</f>
        <v>54.92707482993197</v>
      </c>
      <c r="K60" s="165">
        <v>2320.11</v>
      </c>
      <c r="L60" s="165">
        <f>#N/A</f>
        <v>1717.0299999999997</v>
      </c>
      <c r="M60" s="218">
        <f>#N/A</f>
        <v>1.7400640486873467</v>
      </c>
      <c r="N60" s="164">
        <f>E60-квітень!E60</f>
        <v>600</v>
      </c>
      <c r="O60" s="168">
        <f>F60-квітень!F60</f>
        <v>500.9279999999999</v>
      </c>
      <c r="P60" s="167">
        <f>#N/A</f>
        <v>-99.07200000000012</v>
      </c>
      <c r="Q60" s="165">
        <f>#N/A</f>
        <v>83.48799999999999</v>
      </c>
      <c r="R60" s="37">
        <v>450</v>
      </c>
      <c r="S60" s="37">
        <f>#N/A</f>
        <v>50.927999999999884</v>
      </c>
      <c r="T60" s="37"/>
      <c r="U60" s="94"/>
    </row>
    <row r="61" spans="1:21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62">
        <f>#N/A</f>
        <v>0</v>
      </c>
      <c r="H61" s="164" t="e">
        <f>#N/A</f>
        <v>#DIV/0!</v>
      </c>
      <c r="I61" s="165">
        <f>#N/A</f>
        <v>0</v>
      </c>
      <c r="J61" s="165" t="e">
        <f>#N/A</f>
        <v>#DIV/0!</v>
      </c>
      <c r="K61" s="165"/>
      <c r="L61" s="165">
        <f>#N/A</f>
        <v>0</v>
      </c>
      <c r="M61" s="218" t="e">
        <f>#N/A</f>
        <v>#DIV/0!</v>
      </c>
      <c r="N61" s="164">
        <f>E61-березень!E61</f>
        <v>0</v>
      </c>
      <c r="O61" s="168">
        <f>F61-квітень!F61</f>
        <v>0</v>
      </c>
      <c r="P61" s="167">
        <f>#N/A</f>
        <v>0</v>
      </c>
      <c r="Q61" s="165" t="e">
        <f>#N/A</f>
        <v>#DIV/0!</v>
      </c>
      <c r="R61" s="37"/>
      <c r="S61" s="37">
        <f>#N/A</f>
        <v>0</v>
      </c>
      <c r="T61" s="37"/>
      <c r="U61" s="94"/>
    </row>
    <row r="62" spans="1:21" s="6" customFormat="1" ht="30.75">
      <c r="A62" s="8"/>
      <c r="B62" s="50" t="s">
        <v>42</v>
      </c>
      <c r="C62" s="61"/>
      <c r="D62" s="103"/>
      <c r="E62" s="103"/>
      <c r="F62" s="201">
        <v>883.51</v>
      </c>
      <c r="G62" s="162"/>
      <c r="H62" s="164"/>
      <c r="I62" s="165"/>
      <c r="J62" s="165"/>
      <c r="K62" s="166">
        <v>478.67</v>
      </c>
      <c r="L62" s="165">
        <f>#N/A</f>
        <v>404.92</v>
      </c>
      <c r="M62" s="218">
        <f>#N/A</f>
        <v>1.845927256773978</v>
      </c>
      <c r="N62" s="195"/>
      <c r="O62" s="179">
        <f>F62-квітень!F62</f>
        <v>243.89</v>
      </c>
      <c r="P62" s="166"/>
      <c r="Q62" s="165"/>
      <c r="R62" s="37"/>
      <c r="S62" s="37">
        <f>#N/A</f>
        <v>243.89999999999998</v>
      </c>
      <c r="T62" s="37"/>
      <c r="U62" s="94"/>
    </row>
    <row r="63" spans="1:21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62">
        <f>#N/A</f>
        <v>0</v>
      </c>
      <c r="H63" s="164"/>
      <c r="I63" s="165">
        <f>#N/A</f>
        <v>0</v>
      </c>
      <c r="J63" s="165"/>
      <c r="K63" s="166"/>
      <c r="L63" s="165">
        <f>#N/A</f>
        <v>0</v>
      </c>
      <c r="M63" s="218" t="e">
        <f>#N/A</f>
        <v>#DIV/0!</v>
      </c>
      <c r="N63" s="164">
        <f>E63-лютий!E60</f>
        <v>0</v>
      </c>
      <c r="O63" s="168">
        <f>F63-лютий!F60</f>
        <v>0</v>
      </c>
      <c r="P63" s="167">
        <f>#N/A</f>
        <v>0</v>
      </c>
      <c r="Q63" s="165"/>
      <c r="R63" s="37"/>
      <c r="S63" s="37">
        <f>#N/A</f>
        <v>0</v>
      </c>
      <c r="T63" s="37"/>
      <c r="U63" s="94"/>
    </row>
    <row r="64" spans="1:21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20</v>
      </c>
      <c r="F64" s="156">
        <v>54.64</v>
      </c>
      <c r="G64" s="162">
        <f>#N/A</f>
        <v>34.64</v>
      </c>
      <c r="H64" s="164">
        <f>#N/A</f>
        <v>273.20000000000005</v>
      </c>
      <c r="I64" s="165">
        <f>#N/A</f>
        <v>-105.36</v>
      </c>
      <c r="J64" s="165">
        <f>#N/A</f>
        <v>34.150000000000006</v>
      </c>
      <c r="K64" s="165">
        <v>41.05</v>
      </c>
      <c r="L64" s="165">
        <f>#N/A</f>
        <v>13.590000000000003</v>
      </c>
      <c r="M64" s="218">
        <f>#N/A</f>
        <v>1.331059683313033</v>
      </c>
      <c r="N64" s="164">
        <f>E64-квітень!E64</f>
        <v>10</v>
      </c>
      <c r="O64" s="168">
        <f>F64-квітень!F64</f>
        <v>-0.0020000000000024443</v>
      </c>
      <c r="P64" s="167">
        <f>#N/A</f>
        <v>-10.002000000000002</v>
      </c>
      <c r="Q64" s="165"/>
      <c r="R64" s="37">
        <v>10</v>
      </c>
      <c r="S64" s="37">
        <f>#N/A</f>
        <v>-10.002000000000002</v>
      </c>
      <c r="T64" s="37"/>
      <c r="U64" s="94"/>
    </row>
    <row r="65" spans="1:21" s="6" customFormat="1" ht="18">
      <c r="A65" s="8"/>
      <c r="B65" s="12" t="s">
        <v>44</v>
      </c>
      <c r="C65" s="43">
        <v>31010200</v>
      </c>
      <c r="D65" s="150">
        <v>15</v>
      </c>
      <c r="E65" s="150">
        <v>6.4</v>
      </c>
      <c r="F65" s="156">
        <v>22.35</v>
      </c>
      <c r="G65" s="162">
        <f>#N/A</f>
        <v>15.950000000000001</v>
      </c>
      <c r="H65" s="164">
        <f>#N/A</f>
        <v>349.21875</v>
      </c>
      <c r="I65" s="165">
        <f>#N/A</f>
        <v>7.350000000000001</v>
      </c>
      <c r="J65" s="165">
        <f>#N/A</f>
        <v>149</v>
      </c>
      <c r="K65" s="165">
        <v>13.52</v>
      </c>
      <c r="L65" s="165">
        <f>#N/A</f>
        <v>8.830000000000002</v>
      </c>
      <c r="M65" s="218">
        <f>#N/A</f>
        <v>1.6531065088757397</v>
      </c>
      <c r="N65" s="164">
        <f>E65-квітень!E65</f>
        <v>1.3000000000000007</v>
      </c>
      <c r="O65" s="168">
        <f>F65-квітень!F65</f>
        <v>5.498000000000001</v>
      </c>
      <c r="P65" s="167">
        <f>#N/A</f>
        <v>4.198</v>
      </c>
      <c r="Q65" s="165">
        <f>#N/A</f>
        <v>422.92307692307674</v>
      </c>
      <c r="R65" s="37">
        <v>1.3</v>
      </c>
      <c r="S65" s="37">
        <f>#N/A</f>
        <v>4.198000000000001</v>
      </c>
      <c r="T65" s="37"/>
      <c r="U65" s="94"/>
    </row>
    <row r="66" spans="1:21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-5.25</v>
      </c>
      <c r="G66" s="162">
        <f>#N/A</f>
        <v>-5.25</v>
      </c>
      <c r="H66" s="164"/>
      <c r="I66" s="165">
        <f>#N/A</f>
        <v>-5.25</v>
      </c>
      <c r="J66" s="165"/>
      <c r="K66" s="165">
        <v>0.37</v>
      </c>
      <c r="L66" s="165">
        <f>#N/A</f>
        <v>-5.62</v>
      </c>
      <c r="M66" s="218">
        <f>#N/A</f>
        <v>-14.18918918918919</v>
      </c>
      <c r="N66" s="164">
        <f>E66-квітень!E66</f>
        <v>0</v>
      </c>
      <c r="O66" s="168">
        <f>F66-квітень!F66</f>
        <v>0</v>
      </c>
      <c r="P66" s="167">
        <f>#N/A</f>
        <v>0</v>
      </c>
      <c r="Q66" s="165"/>
      <c r="R66" s="37">
        <v>0</v>
      </c>
      <c r="S66" s="37">
        <f>#N/A</f>
        <v>0</v>
      </c>
      <c r="T66" s="37"/>
      <c r="U66" s="94"/>
    </row>
    <row r="67" spans="1:21" s="6" customFormat="1" ht="18">
      <c r="A67" s="9"/>
      <c r="B67" s="14" t="s">
        <v>184</v>
      </c>
      <c r="C67" s="62"/>
      <c r="D67" s="151">
        <f>D8+D41+D65+D66</f>
        <v>1357491.1</v>
      </c>
      <c r="E67" s="151">
        <f>E8+E41+E65+E66</f>
        <v>529507.3</v>
      </c>
      <c r="F67" s="151">
        <f>F8+F41+F65+F66</f>
        <v>532468.17</v>
      </c>
      <c r="G67" s="151">
        <f>F67-E67</f>
        <v>2960.8699999999953</v>
      </c>
      <c r="H67" s="152">
        <f>F67/E67*100</f>
        <v>100.55917453829248</v>
      </c>
      <c r="I67" s="153">
        <f>F67-D67</f>
        <v>-825022.93</v>
      </c>
      <c r="J67" s="153">
        <f>F67/D67*100</f>
        <v>39.22443174765566</v>
      </c>
      <c r="K67" s="153">
        <v>397849.29</v>
      </c>
      <c r="L67" s="153">
        <f>F67-K67</f>
        <v>134618.88000000006</v>
      </c>
      <c r="M67" s="219">
        <f>F67/K67</f>
        <v>1.3383665206490631</v>
      </c>
      <c r="N67" s="151">
        <f>N8+N41+N65+N66</f>
        <v>112090.19999999998</v>
      </c>
      <c r="O67" s="151">
        <f>O8+O41+O65+O66</f>
        <v>112706.41600000001</v>
      </c>
      <c r="P67" s="155">
        <f>O67-N67</f>
        <v>616.2160000000295</v>
      </c>
      <c r="Q67" s="153">
        <f>O67/N67*100</f>
        <v>100.54975011196343</v>
      </c>
      <c r="R67" s="27">
        <f>R8+R41+R65+R66</f>
        <v>109914</v>
      </c>
      <c r="S67" s="280">
        <f>O67-R67</f>
        <v>2792.416000000012</v>
      </c>
      <c r="T67" s="280"/>
      <c r="U67" s="115">
        <f>O67/34768</f>
        <v>3.241670961803958</v>
      </c>
    </row>
    <row r="68" spans="1:21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47"/>
      <c r="O68" s="46"/>
      <c r="P68" s="79"/>
      <c r="Q68" s="35"/>
      <c r="R68" s="35"/>
      <c r="S68" s="35"/>
      <c r="T68" s="35"/>
      <c r="U68" s="96"/>
    </row>
    <row r="69" spans="1:21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0"/>
      <c r="O69" s="46"/>
      <c r="P69" s="59"/>
      <c r="Q69" s="35"/>
      <c r="R69" s="35"/>
      <c r="S69" s="35"/>
      <c r="T69" s="35"/>
      <c r="U69" s="96"/>
    </row>
    <row r="70" spans="1:21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0"/>
      <c r="O70" s="57"/>
      <c r="P70" s="79"/>
      <c r="Q70" s="35"/>
      <c r="R70" s="35"/>
      <c r="S70" s="35"/>
      <c r="T70" s="35"/>
      <c r="U70" s="96"/>
    </row>
    <row r="71" spans="2:21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1"/>
      <c r="O71" s="146"/>
      <c r="P71" s="36"/>
      <c r="Q71" s="38"/>
      <c r="R71" s="38"/>
      <c r="S71" s="38"/>
      <c r="T71" s="38"/>
      <c r="U71" s="97"/>
    </row>
    <row r="72" spans="2:21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>
        <v>0.01</v>
      </c>
      <c r="L72" s="167">
        <f>F72-K72</f>
        <v>0</v>
      </c>
      <c r="M72" s="209">
        <f>F72/K72</f>
        <v>1</v>
      </c>
      <c r="N72" s="162">
        <f>E72-квітень!E72</f>
        <v>0</v>
      </c>
      <c r="O72" s="182">
        <f>F72-квітень!F72</f>
        <v>0</v>
      </c>
      <c r="P72" s="167"/>
      <c r="Q72" s="167"/>
      <c r="R72" s="38"/>
      <c r="S72" s="38"/>
      <c r="T72" s="38"/>
      <c r="U72" s="97"/>
    </row>
    <row r="73" spans="2:21" ht="31.5">
      <c r="B73" s="23" t="s">
        <v>62</v>
      </c>
      <c r="C73" s="73">
        <v>18041500</v>
      </c>
      <c r="D73" s="180">
        <v>0</v>
      </c>
      <c r="E73" s="180"/>
      <c r="F73" s="181">
        <v>-2.64</v>
      </c>
      <c r="G73" s="162">
        <f>F73-E73</f>
        <v>-2.64</v>
      </c>
      <c r="H73" s="164"/>
      <c r="I73" s="167">
        <f>F73-D73</f>
        <v>-2.64</v>
      </c>
      <c r="J73" s="167"/>
      <c r="K73" s="167">
        <v>-55.72</v>
      </c>
      <c r="L73" s="167">
        <f>F73-K73</f>
        <v>53.08</v>
      </c>
      <c r="M73" s="209">
        <f>F73/K73</f>
        <v>0.04737975592246949</v>
      </c>
      <c r="N73" s="162">
        <f>E73-квітень!E73</f>
        <v>0</v>
      </c>
      <c r="O73" s="182">
        <f>F73-квітень!F73</f>
        <v>-2.64</v>
      </c>
      <c r="P73" s="167">
        <f>O73-N73</f>
        <v>-2.64</v>
      </c>
      <c r="Q73" s="167"/>
      <c r="R73" s="38"/>
      <c r="S73" s="38"/>
      <c r="T73" s="38"/>
      <c r="U73" s="97"/>
    </row>
    <row r="74" spans="2:21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-2.6300000000000003</v>
      </c>
      <c r="G74" s="185">
        <f>F74-E74</f>
        <v>-2.6300000000000003</v>
      </c>
      <c r="H74" s="186"/>
      <c r="I74" s="187">
        <f>F74-D74</f>
        <v>-2.6300000000000003</v>
      </c>
      <c r="J74" s="187"/>
      <c r="K74" s="187">
        <v>-0.27</v>
      </c>
      <c r="L74" s="187">
        <f>F74-K74</f>
        <v>-2.3600000000000003</v>
      </c>
      <c r="M74" s="214">
        <f>F74/K74</f>
        <v>9.74074074074074</v>
      </c>
      <c r="N74" s="185">
        <f>SUM(N72:N73)</f>
        <v>0</v>
      </c>
      <c r="O74" s="188">
        <f>SUM(O72:O73)</f>
        <v>-2.64</v>
      </c>
      <c r="P74" s="187">
        <f>O74-N74</f>
        <v>-2.64</v>
      </c>
      <c r="Q74" s="187"/>
      <c r="R74" s="39"/>
      <c r="S74" s="39"/>
      <c r="T74" s="39"/>
      <c r="U74" s="98"/>
    </row>
    <row r="75" spans="2:21" ht="4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>#N/A</f>
        <v>35.57</v>
      </c>
      <c r="H75" s="186"/>
      <c r="I75" s="187">
        <f>#N/A</f>
        <v>35.57</v>
      </c>
      <c r="J75" s="187"/>
      <c r="K75" s="187">
        <v>0</v>
      </c>
      <c r="L75" s="187">
        <f>#N/A</f>
        <v>35.57</v>
      </c>
      <c r="M75" s="187"/>
      <c r="N75" s="186">
        <f>E75-квітень!E75</f>
        <v>0</v>
      </c>
      <c r="O75" s="289">
        <f>F75-квітень!F75</f>
        <v>0</v>
      </c>
      <c r="P75" s="187">
        <f>#N/A</f>
        <v>0</v>
      </c>
      <c r="Q75" s="187"/>
      <c r="R75" s="38"/>
      <c r="S75" s="38"/>
      <c r="T75" s="38"/>
      <c r="U75" s="97"/>
    </row>
    <row r="76" spans="2:21" ht="31.5">
      <c r="B76" s="23" t="s">
        <v>29</v>
      </c>
      <c r="C76" s="73">
        <v>31030000</v>
      </c>
      <c r="D76" s="180">
        <f>4000+100206.03</f>
        <v>104206.03</v>
      </c>
      <c r="E76" s="180">
        <v>4500</v>
      </c>
      <c r="F76" s="181">
        <v>0.13</v>
      </c>
      <c r="G76" s="162">
        <f>#N/A</f>
        <v>-4499.87</v>
      </c>
      <c r="H76" s="164">
        <f>F76/E76*100</f>
        <v>0.0028888888888888888</v>
      </c>
      <c r="I76" s="167">
        <f>#N/A</f>
        <v>-104205.9</v>
      </c>
      <c r="J76" s="167">
        <f>F76/D76*100</f>
        <v>0.00012475285739222577</v>
      </c>
      <c r="K76" s="167">
        <v>1041.97</v>
      </c>
      <c r="L76" s="167">
        <f>#N/A</f>
        <v>-1041.84</v>
      </c>
      <c r="M76" s="209">
        <f>F76/K76</f>
        <v>0.0001247636688196397</v>
      </c>
      <c r="N76" s="164">
        <f>E76-квітень!E76</f>
        <v>4500</v>
      </c>
      <c r="O76" s="168">
        <f>F76-квітень!F76</f>
        <v>0.010000000000000009</v>
      </c>
      <c r="P76" s="167">
        <f>#N/A</f>
        <v>-4499.99</v>
      </c>
      <c r="Q76" s="167">
        <f>O76/N76*100</f>
        <v>0.00022222222222222242</v>
      </c>
      <c r="R76" s="38">
        <v>0</v>
      </c>
      <c r="S76" s="38">
        <f>#N/A</f>
        <v>0.010000000000000009</v>
      </c>
      <c r="T76" s="38"/>
      <c r="U76" s="97"/>
    </row>
    <row r="77" spans="2:21" ht="18">
      <c r="B77" s="23" t="s">
        <v>30</v>
      </c>
      <c r="C77" s="73">
        <v>33010000</v>
      </c>
      <c r="D77" s="180">
        <f>8000+46000</f>
        <v>54000</v>
      </c>
      <c r="E77" s="180">
        <v>12030</v>
      </c>
      <c r="F77" s="181">
        <v>304.9</v>
      </c>
      <c r="G77" s="162">
        <f>#N/A</f>
        <v>-11725.1</v>
      </c>
      <c r="H77" s="164">
        <f>F77/E77*100</f>
        <v>2.534497090606816</v>
      </c>
      <c r="I77" s="167">
        <f>#N/A</f>
        <v>-53695.1</v>
      </c>
      <c r="J77" s="167">
        <f>F77/D77*100</f>
        <v>0.5646296296296296</v>
      </c>
      <c r="K77" s="167">
        <v>869.23</v>
      </c>
      <c r="L77" s="167">
        <f>#N/A</f>
        <v>-564.33</v>
      </c>
      <c r="M77" s="209">
        <f>F77/K77</f>
        <v>0.35077022192055035</v>
      </c>
      <c r="N77" s="164">
        <f>E77-квітень!E77</f>
        <v>3600</v>
      </c>
      <c r="O77" s="168">
        <f>F77-квітень!F77</f>
        <v>1.9799999999999613</v>
      </c>
      <c r="P77" s="167">
        <f>#N/A</f>
        <v>-3598.02</v>
      </c>
      <c r="Q77" s="167">
        <f>O77/N77*100</f>
        <v>0.05499999999999893</v>
      </c>
      <c r="R77" s="38">
        <v>200</v>
      </c>
      <c r="S77" s="38">
        <f>#N/A</f>
        <v>-198.02000000000004</v>
      </c>
      <c r="T77" s="38"/>
      <c r="U77" s="97"/>
    </row>
    <row r="78" spans="2:21" ht="31.5">
      <c r="B78" s="23" t="s">
        <v>54</v>
      </c>
      <c r="C78" s="73">
        <v>24170000</v>
      </c>
      <c r="D78" s="180">
        <f>10000+69000</f>
        <v>79000</v>
      </c>
      <c r="E78" s="180">
        <v>12350</v>
      </c>
      <c r="F78" s="181">
        <v>4585.42</v>
      </c>
      <c r="G78" s="162">
        <f>#N/A</f>
        <v>-7764.58</v>
      </c>
      <c r="H78" s="164">
        <f>F78/E78*100</f>
        <v>37.128906882591096</v>
      </c>
      <c r="I78" s="167">
        <f>#N/A</f>
        <v>-74414.58</v>
      </c>
      <c r="J78" s="167">
        <f>F78/D78*100</f>
        <v>5.804329113924051</v>
      </c>
      <c r="K78" s="167">
        <v>9113.39</v>
      </c>
      <c r="L78" s="167">
        <f>#N/A</f>
        <v>-4527.969999999999</v>
      </c>
      <c r="M78" s="209">
        <f>F78/K78</f>
        <v>0.5031519555291719</v>
      </c>
      <c r="N78" s="164">
        <f>E78-квітень!E78</f>
        <v>3850</v>
      </c>
      <c r="O78" s="168">
        <f>F78-квітень!F78</f>
        <v>2763.9700000000003</v>
      </c>
      <c r="P78" s="167">
        <f>#N/A</f>
        <v>-1086.0299999999997</v>
      </c>
      <c r="Q78" s="167">
        <f>O78/N78*100</f>
        <v>71.79142857142857</v>
      </c>
      <c r="R78" s="38">
        <v>1500</v>
      </c>
      <c r="S78" s="38">
        <f>#N/A</f>
        <v>1263.9700000000003</v>
      </c>
      <c r="T78" s="38"/>
      <c r="U78" s="97"/>
    </row>
    <row r="79" spans="2:21" ht="18">
      <c r="B79" s="23" t="s">
        <v>101</v>
      </c>
      <c r="C79" s="73">
        <v>24110700</v>
      </c>
      <c r="D79" s="180">
        <v>12</v>
      </c>
      <c r="E79" s="180">
        <v>5</v>
      </c>
      <c r="F79" s="181">
        <v>6</v>
      </c>
      <c r="G79" s="162">
        <f>#N/A</f>
        <v>1</v>
      </c>
      <c r="H79" s="164">
        <f>F79/E79*100</f>
        <v>120</v>
      </c>
      <c r="I79" s="167">
        <f>#N/A</f>
        <v>-6</v>
      </c>
      <c r="J79" s="167">
        <f>F79/D79*100</f>
        <v>50</v>
      </c>
      <c r="K79" s="167">
        <v>5</v>
      </c>
      <c r="L79" s="167">
        <f>#N/A</f>
        <v>1</v>
      </c>
      <c r="M79" s="209"/>
      <c r="N79" s="164">
        <f>E79-квітень!E79</f>
        <v>1</v>
      </c>
      <c r="O79" s="168">
        <f>F79-квітень!F79</f>
        <v>1</v>
      </c>
      <c r="P79" s="167">
        <f>#N/A</f>
        <v>0</v>
      </c>
      <c r="Q79" s="167">
        <f>O79/N79*100</f>
        <v>100</v>
      </c>
      <c r="R79" s="38">
        <v>1</v>
      </c>
      <c r="S79" s="38">
        <f>#N/A</f>
        <v>0</v>
      </c>
      <c r="T79" s="281"/>
      <c r="U79" s="136"/>
    </row>
    <row r="80" spans="2:21" ht="33">
      <c r="B80" s="28" t="s">
        <v>51</v>
      </c>
      <c r="C80" s="65"/>
      <c r="D80" s="183">
        <f>D76+D77+D78+D79</f>
        <v>237218.03</v>
      </c>
      <c r="E80" s="183">
        <f>E76+E77+E78+E79</f>
        <v>28885</v>
      </c>
      <c r="F80" s="184">
        <f>F76+F77+F78+F79</f>
        <v>4896.45</v>
      </c>
      <c r="G80" s="185">
        <f>#N/A</f>
        <v>-23988.55</v>
      </c>
      <c r="H80" s="186">
        <f>F80/E80*100</f>
        <v>16.95153193699152</v>
      </c>
      <c r="I80" s="187">
        <f>#N/A</f>
        <v>-232321.58</v>
      </c>
      <c r="J80" s="187">
        <f>F80/D80*100</f>
        <v>2.064113760661447</v>
      </c>
      <c r="K80" s="187">
        <v>11029.59</v>
      </c>
      <c r="L80" s="187">
        <f>#N/A</f>
        <v>-6133.14</v>
      </c>
      <c r="M80" s="214">
        <f>F80/K80</f>
        <v>0.4439376259679643</v>
      </c>
      <c r="N80" s="185">
        <f>N76+N77+N78+N79</f>
        <v>11951</v>
      </c>
      <c r="O80" s="189">
        <f>O76+O77+O78+O79</f>
        <v>2766.96</v>
      </c>
      <c r="P80" s="187">
        <f>#N/A</f>
        <v>-9184.04</v>
      </c>
      <c r="Q80" s="187">
        <f>O80/N80*100</f>
        <v>23.152539536440468</v>
      </c>
      <c r="R80" s="39">
        <f>SUM(R76:R79)</f>
        <v>1701</v>
      </c>
      <c r="S80" s="39">
        <f>#N/A</f>
        <v>1065.96</v>
      </c>
      <c r="T80" s="282"/>
      <c r="U80" s="116"/>
    </row>
    <row r="81" spans="2:21" ht="46.5">
      <c r="B81" s="12" t="s">
        <v>40</v>
      </c>
      <c r="C81" s="75">
        <v>24062100</v>
      </c>
      <c r="D81" s="180">
        <v>40</v>
      </c>
      <c r="E81" s="180">
        <v>3.5</v>
      </c>
      <c r="F81" s="181">
        <v>34.1</v>
      </c>
      <c r="G81" s="162">
        <f>#N/A</f>
        <v>30.6</v>
      </c>
      <c r="H81" s="164"/>
      <c r="I81" s="167">
        <f>#N/A</f>
        <v>-5.899999999999999</v>
      </c>
      <c r="J81" s="167"/>
      <c r="K81" s="167">
        <v>4.4</v>
      </c>
      <c r="L81" s="167">
        <f>#N/A</f>
        <v>29.700000000000003</v>
      </c>
      <c r="M81" s="209">
        <f>F81/K81</f>
        <v>7.75</v>
      </c>
      <c r="N81" s="164">
        <f>E81-квітень!E81</f>
        <v>1</v>
      </c>
      <c r="O81" s="168">
        <f>F81-квітень!F81</f>
        <v>24.85</v>
      </c>
      <c r="P81" s="167">
        <f>#N/A</f>
        <v>23.85</v>
      </c>
      <c r="Q81" s="167"/>
      <c r="R81" s="38">
        <v>1</v>
      </c>
      <c r="S81" s="38">
        <f>#N/A</f>
        <v>23.85</v>
      </c>
      <c r="T81" s="38"/>
      <c r="U81" s="97"/>
    </row>
    <row r="82" spans="2:21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>#N/A</f>
        <v>0</v>
      </c>
      <c r="H82" s="164"/>
      <c r="I82" s="167">
        <f>#N/A</f>
        <v>0</v>
      </c>
      <c r="J82" s="190"/>
      <c r="K82" s="167">
        <v>0</v>
      </c>
      <c r="L82" s="167">
        <f>#N/A</f>
        <v>0</v>
      </c>
      <c r="M82" s="209" t="e">
        <f>F82/K82</f>
        <v>#DIV/0!</v>
      </c>
      <c r="N82" s="164">
        <f>E82-квітень!E82</f>
        <v>0</v>
      </c>
      <c r="O82" s="168">
        <f>F82-квітень!F82</f>
        <v>0</v>
      </c>
      <c r="P82" s="167">
        <f>#N/A</f>
        <v>0</v>
      </c>
      <c r="Q82" s="190"/>
      <c r="R82" s="41"/>
      <c r="S82" s="38">
        <f>#N/A</f>
        <v>0</v>
      </c>
      <c r="T82" s="41"/>
      <c r="U82" s="99"/>
    </row>
    <row r="83" spans="2:21" ht="18">
      <c r="B83" s="23" t="s">
        <v>46</v>
      </c>
      <c r="C83" s="73">
        <v>19010000</v>
      </c>
      <c r="D83" s="180">
        <v>8360</v>
      </c>
      <c r="E83" s="180">
        <v>4506.5</v>
      </c>
      <c r="F83" s="181">
        <v>5103.22</v>
      </c>
      <c r="G83" s="162">
        <f>#N/A</f>
        <v>596.7200000000003</v>
      </c>
      <c r="H83" s="164">
        <f>F83/E83*100</f>
        <v>113.24131809608345</v>
      </c>
      <c r="I83" s="167">
        <f>#N/A</f>
        <v>-3256.7799999999997</v>
      </c>
      <c r="J83" s="167">
        <f>F83/D83*100</f>
        <v>61.043301435406704</v>
      </c>
      <c r="K83" s="167">
        <v>4887.77</v>
      </c>
      <c r="L83" s="167">
        <f>#N/A</f>
        <v>215.44999999999982</v>
      </c>
      <c r="M83" s="209"/>
      <c r="N83" s="164">
        <f>E83-квітень!E83</f>
        <v>2141.3</v>
      </c>
      <c r="O83" s="168">
        <f>F83-квітень!F83</f>
        <v>2871.6800000000003</v>
      </c>
      <c r="P83" s="167">
        <f>O83-N83</f>
        <v>730.3800000000001</v>
      </c>
      <c r="Q83" s="190">
        <f>O83/N83*100</f>
        <v>134.1091860084995</v>
      </c>
      <c r="R83" s="41">
        <v>2850</v>
      </c>
      <c r="S83" s="288">
        <f>#N/A</f>
        <v>21.68000000000029</v>
      </c>
      <c r="T83" s="41"/>
      <c r="U83" s="99"/>
    </row>
    <row r="84" spans="2:21" ht="31.5">
      <c r="B84" s="23" t="s">
        <v>50</v>
      </c>
      <c r="C84" s="73">
        <v>19050000</v>
      </c>
      <c r="D84" s="180">
        <v>0</v>
      </c>
      <c r="E84" s="180"/>
      <c r="F84" s="181">
        <v>0.05</v>
      </c>
      <c r="G84" s="162">
        <f>#N/A</f>
        <v>0.05</v>
      </c>
      <c r="H84" s="164"/>
      <c r="I84" s="167">
        <f>#N/A</f>
        <v>0.05</v>
      </c>
      <c r="J84" s="167"/>
      <c r="K84" s="167">
        <v>0.69</v>
      </c>
      <c r="L84" s="167">
        <f>#N/A</f>
        <v>-0.6399999999999999</v>
      </c>
      <c r="M84" s="209">
        <f>#N/A</f>
        <v>0.07246376811594205</v>
      </c>
      <c r="N84" s="164">
        <f>E84-квітень!E84</f>
        <v>0</v>
      </c>
      <c r="O84" s="168">
        <f>F84-квітень!F84</f>
        <v>0.020000000000000004</v>
      </c>
      <c r="P84" s="167">
        <f>#N/A</f>
        <v>0.020000000000000004</v>
      </c>
      <c r="Q84" s="167"/>
      <c r="R84" s="38">
        <v>0</v>
      </c>
      <c r="S84" s="38">
        <f>#N/A</f>
        <v>0.020000000000000004</v>
      </c>
      <c r="T84" s="38"/>
      <c r="U84" s="97"/>
    </row>
    <row r="85" spans="2:21" ht="30">
      <c r="B85" s="28" t="s">
        <v>47</v>
      </c>
      <c r="C85" s="73"/>
      <c r="D85" s="183">
        <f>D81+D84+D82+D83</f>
        <v>8400</v>
      </c>
      <c r="E85" s="183">
        <f>E81+E84+E82+E83</f>
        <v>4510</v>
      </c>
      <c r="F85" s="184">
        <f>F81+F84+F82+F83</f>
        <v>5137.37</v>
      </c>
      <c r="G85" s="183">
        <f>G81+G84+G82+G83</f>
        <v>627.3700000000002</v>
      </c>
      <c r="H85" s="186">
        <f>F85/E85*100</f>
        <v>113.91064301552105</v>
      </c>
      <c r="I85" s="187">
        <f>#N/A</f>
        <v>-3262.63</v>
      </c>
      <c r="J85" s="187">
        <f>F85/D85*100</f>
        <v>61.159166666666664</v>
      </c>
      <c r="K85" s="187">
        <v>4892.86</v>
      </c>
      <c r="L85" s="187">
        <f>#N/A</f>
        <v>244.51000000000022</v>
      </c>
      <c r="M85" s="220">
        <f>#N/A</f>
        <v>1.0499728175341212</v>
      </c>
      <c r="N85" s="185">
        <f>N81+N84+N82+N83</f>
        <v>2142.3</v>
      </c>
      <c r="O85" s="189">
        <f>O81+O84+O82+O83</f>
        <v>2896.55</v>
      </c>
      <c r="P85" s="185">
        <f>P81+P84+P82+P83</f>
        <v>754.2500000000001</v>
      </c>
      <c r="Q85" s="187">
        <f>O85/N85*100</f>
        <v>135.20748728002613</v>
      </c>
      <c r="R85" s="39">
        <f>SUM(R81:R84)</f>
        <v>2851</v>
      </c>
      <c r="S85" s="39">
        <f>#N/A</f>
        <v>45.55000000000018</v>
      </c>
      <c r="T85" s="39"/>
      <c r="U85" s="96"/>
    </row>
    <row r="86" spans="2:21" ht="30.75">
      <c r="B86" s="12" t="s">
        <v>41</v>
      </c>
      <c r="C86" s="43">
        <v>24110900</v>
      </c>
      <c r="D86" s="180">
        <v>38</v>
      </c>
      <c r="E86" s="180">
        <v>15.3</v>
      </c>
      <c r="F86" s="181">
        <v>7.74</v>
      </c>
      <c r="G86" s="162">
        <f>#N/A</f>
        <v>-7.5600000000000005</v>
      </c>
      <c r="H86" s="164">
        <f>F86/E86*100</f>
        <v>50.588235294117645</v>
      </c>
      <c r="I86" s="167">
        <f>#N/A</f>
        <v>-30.259999999999998</v>
      </c>
      <c r="J86" s="167">
        <f>F86/D86*100</f>
        <v>20.36842105263158</v>
      </c>
      <c r="K86" s="167">
        <v>9.19</v>
      </c>
      <c r="L86" s="167">
        <f>#N/A</f>
        <v>-1.4499999999999993</v>
      </c>
      <c r="M86" s="209">
        <f>#N/A</f>
        <v>0.8422198041349294</v>
      </c>
      <c r="N86" s="164">
        <f>E86-квітень!E86</f>
        <v>1.200000000000001</v>
      </c>
      <c r="O86" s="168">
        <f>F86-квітень!F86</f>
        <v>0.14000000000000057</v>
      </c>
      <c r="P86" s="167">
        <f>#N/A</f>
        <v>-1.0600000000000005</v>
      </c>
      <c r="Q86" s="167">
        <f>O86/N86</f>
        <v>0.11666666666666704</v>
      </c>
      <c r="R86" s="38">
        <v>1.2</v>
      </c>
      <c r="S86" s="38">
        <f>#N/A</f>
        <v>-1.0599999999999994</v>
      </c>
      <c r="T86" s="38"/>
      <c r="U86" s="97"/>
    </row>
    <row r="87" spans="2:21" ht="18" hidden="1">
      <c r="B87" s="122"/>
      <c r="C87" s="43">
        <v>21110000</v>
      </c>
      <c r="D87" s="180">
        <v>0</v>
      </c>
      <c r="E87" s="180">
        <v>0</v>
      </c>
      <c r="F87" s="181"/>
      <c r="G87" s="162">
        <f>#N/A</f>
        <v>0</v>
      </c>
      <c r="H87" s="164"/>
      <c r="I87" s="167">
        <f>#N/A</f>
        <v>0</v>
      </c>
      <c r="J87" s="167"/>
      <c r="K87" s="167">
        <v>0</v>
      </c>
      <c r="L87" s="167">
        <f>#N/A</f>
        <v>0</v>
      </c>
      <c r="M87" s="167"/>
      <c r="N87" s="164">
        <f>E87-квітень!E87</f>
        <v>0</v>
      </c>
      <c r="O87" s="168">
        <f>F87-квітень!F87</f>
        <v>0</v>
      </c>
      <c r="P87" s="167">
        <f>#N/A</f>
        <v>0</v>
      </c>
      <c r="Q87" s="167"/>
      <c r="R87" s="38">
        <v>0</v>
      </c>
      <c r="S87" s="38">
        <f>#N/A</f>
        <v>0</v>
      </c>
      <c r="T87" s="38"/>
      <c r="U87" s="97"/>
    </row>
    <row r="88" spans="2:21" ht="23.25" customHeight="1">
      <c r="B88" s="14" t="s">
        <v>31</v>
      </c>
      <c r="C88" s="66"/>
      <c r="D88" s="191">
        <f>D74+D75+D80+D85+D86</f>
        <v>245656.03</v>
      </c>
      <c r="E88" s="191">
        <f>E74+E75+E80+E85+E86</f>
        <v>33410.3</v>
      </c>
      <c r="F88" s="191">
        <f>F74+F75+F80+F85+F86</f>
        <v>10074.499999999998</v>
      </c>
      <c r="G88" s="192">
        <f>F88-E88</f>
        <v>-23335.800000000003</v>
      </c>
      <c r="H88" s="193">
        <f>F88/E88*100</f>
        <v>30.153874703310045</v>
      </c>
      <c r="I88" s="194">
        <f>F88-D88</f>
        <v>-235581.53</v>
      </c>
      <c r="J88" s="194">
        <f>F88/D88*100</f>
        <v>4.101059518058644</v>
      </c>
      <c r="K88" s="194">
        <v>15931.38</v>
      </c>
      <c r="L88" s="194">
        <f>F88-K88</f>
        <v>-5856.880000000001</v>
      </c>
      <c r="M88" s="221">
        <f>#N/A</f>
        <v>0.6323683196308166</v>
      </c>
      <c r="N88" s="191">
        <f>N74+N75+N80+N85+N86</f>
        <v>14094.5</v>
      </c>
      <c r="O88" s="191">
        <f>O74+O75+O80+O85+O86</f>
        <v>5661.010000000001</v>
      </c>
      <c r="P88" s="194">
        <f>#N/A</f>
        <v>-8433.489999999998</v>
      </c>
      <c r="Q88" s="194">
        <f>O88/N88*100</f>
        <v>40.16467416368087</v>
      </c>
      <c r="R88" s="27">
        <f>R80+R85+R86+R87</f>
        <v>4553.2</v>
      </c>
      <c r="S88" s="27">
        <f>S80+S85+S86+S87</f>
        <v>1110.4500000000003</v>
      </c>
      <c r="T88" s="27"/>
      <c r="U88" s="95">
        <f>O88/8104.96</f>
        <v>0.6984624230101075</v>
      </c>
    </row>
    <row r="89" spans="2:21" ht="17.25">
      <c r="B89" s="21" t="s">
        <v>182</v>
      </c>
      <c r="C89" s="66"/>
      <c r="D89" s="191">
        <f>D67+D88</f>
        <v>1603147.1300000001</v>
      </c>
      <c r="E89" s="191">
        <f>E67+E88</f>
        <v>562917.6000000001</v>
      </c>
      <c r="F89" s="191">
        <f>F67+F88</f>
        <v>542542.67</v>
      </c>
      <c r="G89" s="192">
        <f>F89-E89</f>
        <v>-20374.93000000005</v>
      </c>
      <c r="H89" s="193">
        <f>F89/E89*100</f>
        <v>96.38047735583324</v>
      </c>
      <c r="I89" s="194">
        <f>F89-D89</f>
        <v>-1060604.46</v>
      </c>
      <c r="J89" s="194">
        <f>F89/D89*100</f>
        <v>33.84235045226323</v>
      </c>
      <c r="K89" s="194">
        <f>K67+K88</f>
        <v>413780.67</v>
      </c>
      <c r="L89" s="194">
        <f>F89-K89</f>
        <v>128762.00000000006</v>
      </c>
      <c r="M89" s="221">
        <f>#N/A</f>
        <v>1.3111841836400915</v>
      </c>
      <c r="N89" s="192">
        <f>N67+N88</f>
        <v>126184.69999999998</v>
      </c>
      <c r="O89" s="192">
        <f>O67+O88</f>
        <v>118367.426</v>
      </c>
      <c r="P89" s="194">
        <f>#N/A</f>
        <v>-7817.273999999976</v>
      </c>
      <c r="Q89" s="194">
        <f>O89/N89*100</f>
        <v>93.80489552219883</v>
      </c>
      <c r="R89" s="27">
        <f>R67+R88</f>
        <v>114467.2</v>
      </c>
      <c r="S89" s="27">
        <f>S67+S88</f>
        <v>3902.8660000000123</v>
      </c>
      <c r="T89" s="27"/>
      <c r="U89" s="95">
        <f>O89/42872.96</f>
        <v>2.760887655062772</v>
      </c>
    </row>
    <row r="90" spans="2:15" ht="15">
      <c r="B90" s="20" t="s">
        <v>34</v>
      </c>
      <c r="O90" s="25"/>
    </row>
    <row r="91" spans="2:19" ht="15">
      <c r="B91" s="4" t="s">
        <v>36</v>
      </c>
      <c r="C91" s="76">
        <v>0</v>
      </c>
      <c r="D91" s="4" t="s">
        <v>35</v>
      </c>
      <c r="O91" s="78"/>
      <c r="S91" s="29"/>
    </row>
    <row r="92" spans="2:20" ht="30.75">
      <c r="B92" s="52" t="s">
        <v>53</v>
      </c>
      <c r="C92" s="29">
        <f>IF(P67&lt;0,ABS(P67/C91),0)</f>
        <v>0</v>
      </c>
      <c r="D92" s="4" t="s">
        <v>24</v>
      </c>
      <c r="G92" s="424"/>
      <c r="H92" s="424"/>
      <c r="I92" s="424"/>
      <c r="J92" s="424"/>
      <c r="K92" s="84"/>
      <c r="L92" s="84"/>
      <c r="M92" s="84"/>
      <c r="Q92" s="25"/>
      <c r="R92" s="25"/>
      <c r="S92" s="25"/>
      <c r="T92" s="25"/>
    </row>
    <row r="93" spans="2:16" ht="34.5" customHeight="1">
      <c r="B93" s="53" t="s">
        <v>55</v>
      </c>
      <c r="C93" s="81">
        <v>42886</v>
      </c>
      <c r="D93" s="29">
        <v>10184.67</v>
      </c>
      <c r="G93" s="4" t="s">
        <v>58</v>
      </c>
      <c r="O93" s="430"/>
      <c r="P93" s="430"/>
    </row>
    <row r="94" spans="3:16" ht="15">
      <c r="C94" s="81">
        <v>42885</v>
      </c>
      <c r="D94" s="29">
        <v>10664.9</v>
      </c>
      <c r="F94" s="113" t="s">
        <v>58</v>
      </c>
      <c r="G94" s="427"/>
      <c r="H94" s="427"/>
      <c r="I94" s="118"/>
      <c r="J94" s="436"/>
      <c r="K94" s="436"/>
      <c r="L94" s="436"/>
      <c r="M94" s="436"/>
      <c r="N94" s="436"/>
      <c r="O94" s="430"/>
      <c r="P94" s="430"/>
    </row>
    <row r="95" spans="3:16" ht="15.75" customHeight="1">
      <c r="C95" s="81">
        <v>42884</v>
      </c>
      <c r="D95" s="29">
        <v>6919.44</v>
      </c>
      <c r="F95" s="68"/>
      <c r="G95" s="427"/>
      <c r="H95" s="427"/>
      <c r="I95" s="118"/>
      <c r="J95" s="437"/>
      <c r="K95" s="437"/>
      <c r="L95" s="437"/>
      <c r="M95" s="437"/>
      <c r="N95" s="437"/>
      <c r="O95" s="430"/>
      <c r="P95" s="430"/>
    </row>
    <row r="96" spans="3:14" ht="15.75" customHeight="1">
      <c r="C96" s="81"/>
      <c r="F96" s="68"/>
      <c r="G96" s="421"/>
      <c r="H96" s="421"/>
      <c r="I96" s="124"/>
      <c r="J96" s="436"/>
      <c r="K96" s="436"/>
      <c r="L96" s="436"/>
      <c r="M96" s="436"/>
      <c r="N96" s="436"/>
    </row>
    <row r="97" spans="2:14" ht="18" customHeight="1">
      <c r="B97" s="425" t="s">
        <v>56</v>
      </c>
      <c r="C97" s="426"/>
      <c r="D97" s="133">
        <v>1135.71022</v>
      </c>
      <c r="E97" s="69"/>
      <c r="F97" s="125" t="s">
        <v>107</v>
      </c>
      <c r="G97" s="427"/>
      <c r="H97" s="427"/>
      <c r="I97" s="126"/>
      <c r="J97" s="436"/>
      <c r="K97" s="436"/>
      <c r="L97" s="436"/>
      <c r="M97" s="436"/>
      <c r="N97" s="436"/>
    </row>
    <row r="98" spans="6:13" ht="9.75" customHeight="1" hidden="1">
      <c r="F98" s="68"/>
      <c r="G98" s="427"/>
      <c r="H98" s="427"/>
      <c r="I98" s="68"/>
      <c r="J98" s="69"/>
      <c r="K98" s="69"/>
      <c r="L98" s="69"/>
      <c r="M98" s="69"/>
    </row>
    <row r="99" spans="2:13" ht="22.5" customHeight="1" hidden="1">
      <c r="B99" s="428" t="s">
        <v>59</v>
      </c>
      <c r="C99" s="429"/>
      <c r="D99" s="80">
        <v>0</v>
      </c>
      <c r="E99" s="51" t="s">
        <v>24</v>
      </c>
      <c r="F99" s="68"/>
      <c r="G99" s="427"/>
      <c r="H99" s="427"/>
      <c r="I99" s="68"/>
      <c r="J99" s="69"/>
      <c r="K99" s="69"/>
      <c r="L99" s="69"/>
      <c r="M99" s="69"/>
    </row>
    <row r="100" spans="2:16" ht="15" hidden="1">
      <c r="B100" s="285" t="s">
        <v>195</v>
      </c>
      <c r="D100" s="68">
        <f>D48+D51+D52</f>
        <v>1060</v>
      </c>
      <c r="E100" s="68">
        <f>E48+E51+E52</f>
        <v>532</v>
      </c>
      <c r="F100" s="203">
        <f>F48+F51+F52</f>
        <v>733.8000000000001</v>
      </c>
      <c r="G100" s="68">
        <f>G48+G51+G52</f>
        <v>201.79999999999998</v>
      </c>
      <c r="H100" s="69"/>
      <c r="I100" s="69"/>
      <c r="N100" s="29">
        <f>N48+N51+N52</f>
        <v>88</v>
      </c>
      <c r="O100" s="202">
        <f>O48+O51+O52</f>
        <v>153.59999999999997</v>
      </c>
      <c r="P100" s="29">
        <f>P48+P51+P52</f>
        <v>65.59999999999997</v>
      </c>
    </row>
    <row r="101" spans="4:16" ht="15" hidden="1">
      <c r="D101" s="78"/>
      <c r="I101" s="29"/>
      <c r="O101" s="420"/>
      <c r="P101" s="420"/>
    </row>
    <row r="102" spans="2:17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504972.5</v>
      </c>
      <c r="F102" s="229">
        <f>F9+F15+F18+F19+F23+F42+F45+F65+F59</f>
        <v>507326.6600000001</v>
      </c>
      <c r="G102" s="29">
        <f>F102-E102</f>
        <v>2354.160000000091</v>
      </c>
      <c r="H102" s="230">
        <f>F102/E102</f>
        <v>1.004661956839234</v>
      </c>
      <c r="I102" s="29">
        <f>F102-D102</f>
        <v>-791721.94</v>
      </c>
      <c r="J102" s="230">
        <f>F102/D102</f>
        <v>0.39053708999032066</v>
      </c>
      <c r="N102" s="29">
        <f>N9+N15+N17+N18+N19+N23+N42+N45+N65+N59</f>
        <v>106907.39999999998</v>
      </c>
      <c r="O102" s="229">
        <f>O9+O15+O17+O18+O19+O23+O42+O45+O65+O59</f>
        <v>107174.83200000002</v>
      </c>
      <c r="P102" s="29">
        <f>O102-N102</f>
        <v>267.43200000004435</v>
      </c>
      <c r="Q102" s="230">
        <f>O102/N102</f>
        <v>1.002501529360924</v>
      </c>
    </row>
    <row r="103" spans="2:17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24534.8</v>
      </c>
      <c r="F103" s="229">
        <f>F43+F44+F46+F48+F50+F51+F52+F53+F54+F60+F64+F47+F66</f>
        <v>25140.669999999995</v>
      </c>
      <c r="G103" s="29">
        <f>G43+G44+G46+G48+G50+G51+G52+G53+G54+G60+G64+G47</f>
        <v>611.1200000000002</v>
      </c>
      <c r="H103" s="230">
        <f>F103/E103</f>
        <v>1.0246943117531015</v>
      </c>
      <c r="I103" s="29">
        <f>I43+I44+I46+I48+I50+I51+I52+I53+I54+I60+I64+I47</f>
        <v>-33296.58</v>
      </c>
      <c r="J103" s="230">
        <f>F103/D103</f>
        <v>0.43017786713436273</v>
      </c>
      <c r="K103" s="29">
        <f>#N/A</f>
        <v>22597.689999999995</v>
      </c>
      <c r="L103" s="29">
        <f>#N/A</f>
        <v>2548.230000000001</v>
      </c>
      <c r="M103" s="29">
        <f>#N/A</f>
        <v>17.713084682263524</v>
      </c>
      <c r="N103" s="29">
        <f>N43+N44+N46+N48+N50+N51+N52+N53+N54+N60+N64+N47+N66</f>
        <v>5182.8</v>
      </c>
      <c r="O103" s="229">
        <f>O43+O44+O46+O48+O50+O51+O52+O53+O54+O60+O64+O47+O66</f>
        <v>5531.233999999999</v>
      </c>
      <c r="P103" s="29">
        <f>#N/A</f>
        <v>348.43399999999957</v>
      </c>
      <c r="Q103" s="230">
        <f>O103/N103</f>
        <v>1.0672289110133515</v>
      </c>
    </row>
    <row r="104" spans="2:17" ht="15" hidden="1">
      <c r="B104" s="4" t="s">
        <v>121</v>
      </c>
      <c r="D104" s="29">
        <f>SUM(D102:D103)</f>
        <v>1357491.1</v>
      </c>
      <c r="E104" s="29">
        <f>#N/A</f>
        <v>529507.3</v>
      </c>
      <c r="F104" s="229">
        <f>#N/A</f>
        <v>532467.3300000001</v>
      </c>
      <c r="G104" s="29">
        <f>#N/A</f>
        <v>2965.280000000091</v>
      </c>
      <c r="H104" s="230">
        <f>F104/E104</f>
        <v>1.0055901590025293</v>
      </c>
      <c r="I104" s="29">
        <f>#N/A</f>
        <v>-825018.5199999999</v>
      </c>
      <c r="J104" s="230">
        <f>F104/D104</f>
        <v>0.3922436986879693</v>
      </c>
      <c r="K104" s="29">
        <f>#N/A</f>
        <v>22597.689999999995</v>
      </c>
      <c r="L104" s="29">
        <f>#N/A</f>
        <v>2548.230000000001</v>
      </c>
      <c r="M104" s="29">
        <f>#N/A</f>
        <v>17.713084682263524</v>
      </c>
      <c r="N104" s="29">
        <f>#N/A</f>
        <v>112090.19999999998</v>
      </c>
      <c r="O104" s="229">
        <f>#N/A</f>
        <v>112706.06600000002</v>
      </c>
      <c r="P104" s="29">
        <f>#N/A</f>
        <v>615.8660000000439</v>
      </c>
      <c r="Q104" s="230">
        <f>O104/N104</f>
        <v>1.0054943786343502</v>
      </c>
    </row>
    <row r="105" spans="4:21" ht="15" hidden="1">
      <c r="D105" s="29">
        <f>D67-D104</f>
        <v>0</v>
      </c>
      <c r="E105" s="29">
        <f>#N/A</f>
        <v>0</v>
      </c>
      <c r="F105" s="29">
        <f>#N/A</f>
        <v>0.8399999999674037</v>
      </c>
      <c r="G105" s="29">
        <f>#N/A</f>
        <v>-4.410000000095806</v>
      </c>
      <c r="H105" s="230"/>
      <c r="I105" s="29">
        <f>#N/A</f>
        <v>-4.410000000149012</v>
      </c>
      <c r="J105" s="230"/>
      <c r="K105" s="29">
        <f>#N/A</f>
        <v>375251.6</v>
      </c>
      <c r="L105" s="29">
        <f>#N/A</f>
        <v>132070.65000000005</v>
      </c>
      <c r="M105" s="29">
        <f>#N/A</f>
        <v>-16.37471816161446</v>
      </c>
      <c r="N105" s="29">
        <f>#N/A</f>
        <v>0</v>
      </c>
      <c r="O105" s="29">
        <f>#N/A</f>
        <v>0.34999999999126885</v>
      </c>
      <c r="P105" s="29">
        <f>#N/A</f>
        <v>0.3499999999855845</v>
      </c>
      <c r="Q105" s="29"/>
      <c r="R105" s="29">
        <f>#N/A</f>
        <v>109914</v>
      </c>
      <c r="S105" s="29"/>
      <c r="T105" s="29"/>
      <c r="U105" s="29">
        <f>#N/A</f>
        <v>3.241670961803958</v>
      </c>
    </row>
    <row r="106" ht="15" hidden="1">
      <c r="E106" s="4" t="s">
        <v>58</v>
      </c>
    </row>
    <row r="107" spans="2:5" ht="15" hidden="1">
      <c r="B107" s="245" t="s">
        <v>165</v>
      </c>
      <c r="E107" s="29">
        <f>E67-E9-E20-E29-E35</f>
        <v>53716.60000000005</v>
      </c>
    </row>
    <row r="108" spans="2:5" ht="15" hidden="1">
      <c r="B108" s="245" t="s">
        <v>166</v>
      </c>
      <c r="E108" s="29">
        <f>E88-E83-E76-E77</f>
        <v>12373.800000000003</v>
      </c>
    </row>
    <row r="109" ht="15" hidden="1"/>
    <row r="110" spans="2:21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268"/>
      <c r="N110" s="266"/>
      <c r="O110" s="266"/>
      <c r="P110" s="267"/>
      <c r="Q110" s="267"/>
      <c r="R110" s="270"/>
      <c r="S110" s="270"/>
      <c r="T110" s="270"/>
      <c r="U110" s="97"/>
    </row>
    <row r="111" spans="2:21" ht="23.25" customHeight="1" hidden="1">
      <c r="B111" s="14" t="s">
        <v>31</v>
      </c>
      <c r="C111" s="66"/>
      <c r="D111" s="191">
        <f>D88+D110</f>
        <v>318064.25</v>
      </c>
      <c r="E111" s="191">
        <f>E88+E110</f>
        <v>51512.36</v>
      </c>
      <c r="F111" s="191">
        <f>F88+F110</f>
        <v>30328.82</v>
      </c>
      <c r="G111" s="192">
        <f>F111-E111</f>
        <v>-21183.54</v>
      </c>
      <c r="H111" s="193">
        <f>F111/E111*100</f>
        <v>58.87678219363275</v>
      </c>
      <c r="I111" s="194">
        <f>F111-D111</f>
        <v>-287735.43</v>
      </c>
      <c r="J111" s="194">
        <f>F111/D111*100</f>
        <v>9.535438201558332</v>
      </c>
      <c r="K111" s="194">
        <v>3039.87</v>
      </c>
      <c r="L111" s="194">
        <f>F111-K111</f>
        <v>27288.95</v>
      </c>
      <c r="M111" s="269">
        <f>F111/K111</f>
        <v>9.977012174862741</v>
      </c>
      <c r="N111" s="272"/>
      <c r="O111" s="272"/>
      <c r="P111" s="273"/>
      <c r="Q111" s="273"/>
      <c r="R111" s="271">
        <f>O111-8104.96</f>
        <v>-8104.96</v>
      </c>
      <c r="S111" s="271"/>
      <c r="T111" s="271"/>
      <c r="U111" s="95">
        <f>O111/8104.96</f>
        <v>0</v>
      </c>
    </row>
    <row r="112" spans="2:21" ht="17.25" hidden="1">
      <c r="B112" s="21" t="s">
        <v>181</v>
      </c>
      <c r="C112" s="66"/>
      <c r="D112" s="191">
        <f>D111+D67</f>
        <v>1675555.35</v>
      </c>
      <c r="E112" s="191">
        <f>E111+E67</f>
        <v>581019.66</v>
      </c>
      <c r="F112" s="191">
        <f>F111+F67</f>
        <v>562796.99</v>
      </c>
      <c r="G112" s="192">
        <f>F112-E112</f>
        <v>-18222.670000000042</v>
      </c>
      <c r="H112" s="193">
        <f>F112/E112*100</f>
        <v>96.86367411388453</v>
      </c>
      <c r="I112" s="194">
        <f>F112-D112</f>
        <v>-1112758.36</v>
      </c>
      <c r="J112" s="194">
        <f>F112/D112*100</f>
        <v>33.58868389516347</v>
      </c>
      <c r="K112" s="194">
        <f>K89+K111</f>
        <v>416820.54</v>
      </c>
      <c r="L112" s="194">
        <f>F112-K112</f>
        <v>145976.45</v>
      </c>
      <c r="M112" s="269">
        <f>F112/K112</f>
        <v>1.3502141473162528</v>
      </c>
      <c r="N112" s="274"/>
      <c r="O112" s="274"/>
      <c r="P112" s="273"/>
      <c r="Q112" s="273"/>
      <c r="R112" s="271">
        <f>O112-42872.96</f>
        <v>-42872.96</v>
      </c>
      <c r="S112" s="271"/>
      <c r="T112" s="271"/>
      <c r="U112" s="95">
        <f>O112/42872.96</f>
        <v>0</v>
      </c>
    </row>
    <row r="113" spans="2:21" ht="15" hidden="1">
      <c r="B113" s="241" t="s">
        <v>183</v>
      </c>
      <c r="C113" s="239">
        <v>40000000</v>
      </c>
      <c r="D113" s="244">
        <f>#N/A</f>
        <v>1222868.6900000002</v>
      </c>
      <c r="E113" s="244">
        <f>#N/A</f>
        <v>550655.6</v>
      </c>
      <c r="F113" s="244">
        <f>#N/A</f>
        <v>545829.08</v>
      </c>
      <c r="G113" s="244">
        <f>#N/A</f>
        <v>-4826.520000000019</v>
      </c>
      <c r="H113" s="244">
        <f>F113/E113*100</f>
        <v>99.12349570221387</v>
      </c>
      <c r="I113" s="36">
        <f>#N/A</f>
        <v>-677039.6100000002</v>
      </c>
      <c r="J113" s="36">
        <f>F113/D113*100</f>
        <v>44.63513412875097</v>
      </c>
      <c r="Q113" s="89"/>
      <c r="U113" s="4"/>
    </row>
    <row r="114" spans="2:21" ht="15" customHeight="1" hidden="1">
      <c r="B114" s="240" t="s">
        <v>154</v>
      </c>
      <c r="C114" s="239">
        <v>41000000</v>
      </c>
      <c r="D114" s="244">
        <f>#N/A</f>
        <v>1222868.6900000002</v>
      </c>
      <c r="E114" s="244">
        <f>#N/A</f>
        <v>550655.6</v>
      </c>
      <c r="F114" s="244">
        <f>#N/A</f>
        <v>545829.08</v>
      </c>
      <c r="G114" s="244">
        <f>#N/A</f>
        <v>-4826.520000000019</v>
      </c>
      <c r="H114" s="244">
        <f>#N/A</f>
        <v>99.12349570221387</v>
      </c>
      <c r="I114" s="36">
        <f>#N/A</f>
        <v>-677039.6100000002</v>
      </c>
      <c r="J114" s="36">
        <f>#N/A</f>
        <v>44.63513412875097</v>
      </c>
      <c r="Q114" s="89"/>
      <c r="U114" s="4"/>
    </row>
    <row r="115" spans="2:21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>
        <f>#N/A</f>
        <v>-4826.520000000019</v>
      </c>
      <c r="H115" s="244">
        <f>#N/A</f>
        <v>99.12349570221387</v>
      </c>
      <c r="I115" s="36">
        <f>#N/A</f>
        <v>-677039.6100000002</v>
      </c>
      <c r="J115" s="36">
        <f>#N/A</f>
        <v>44.63513412875097</v>
      </c>
      <c r="Q115" s="89"/>
      <c r="U115" s="4"/>
    </row>
    <row r="116" spans="2:21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>
        <f>#N/A</f>
        <v>-3734.029999999999</v>
      </c>
      <c r="H116" s="244">
        <f>#N/A</f>
        <v>95.0108160470321</v>
      </c>
      <c r="I116" s="36">
        <f>#N/A</f>
        <v>-240704.93000000002</v>
      </c>
      <c r="J116" s="36">
        <f>#N/A</f>
        <v>22.80481531582671</v>
      </c>
      <c r="Q116" s="89"/>
      <c r="U116" s="4"/>
    </row>
    <row r="117" spans="2:21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>
        <f>#N/A</f>
        <v>-707.6699999999837</v>
      </c>
      <c r="H117" s="244">
        <f>#N/A</f>
        <v>99.80061079304002</v>
      </c>
      <c r="I117" s="36">
        <f>#N/A</f>
        <v>-54436.96000000002</v>
      </c>
      <c r="J117" s="36">
        <f>#N/A</f>
        <v>86.67877161822808</v>
      </c>
      <c r="Q117" s="89"/>
      <c r="U117" s="4"/>
    </row>
    <row r="118" spans="2:21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>
        <f>#N/A</f>
        <v>-16.159999999999997</v>
      </c>
      <c r="H118" s="244">
        <f>#N/A</f>
        <v>71.64912280701755</v>
      </c>
      <c r="I118" s="36">
        <f>#N/A</f>
        <v>-186.85999999999999</v>
      </c>
      <c r="J118" s="36">
        <f>#N/A</f>
        <v>17.9358805445762</v>
      </c>
      <c r="Q118" s="89"/>
      <c r="U118" s="4"/>
    </row>
    <row r="119" spans="2:21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>
        <f>#N/A</f>
        <v>0</v>
      </c>
      <c r="H119" s="244">
        <f>#N/A</f>
        <v>100</v>
      </c>
      <c r="I119" s="36">
        <f>#N/A</f>
        <v>-187142.9</v>
      </c>
      <c r="J119" s="36">
        <f>#N/A</f>
        <v>23.092327639525013</v>
      </c>
      <c r="Q119" s="89"/>
      <c r="U119" s="4"/>
    </row>
    <row r="120" spans="2:21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>
        <f>#N/A</f>
        <v>0</v>
      </c>
      <c r="H120" s="244">
        <f>#N/A</f>
        <v>100</v>
      </c>
      <c r="I120" s="36">
        <f>#N/A</f>
        <v>-178707.6</v>
      </c>
      <c r="J120" s="36">
        <f>#N/A</f>
        <v>24.991406068008537</v>
      </c>
      <c r="Q120" s="89"/>
      <c r="U120" s="4"/>
    </row>
    <row r="121" spans="2:21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>
        <f>#N/A</f>
        <v>-460.1399999999999</v>
      </c>
      <c r="H121" s="244">
        <f>#N/A</f>
        <v>89.02806292160552</v>
      </c>
      <c r="I121" s="36">
        <f>#N/A</f>
        <v>-12505.44</v>
      </c>
      <c r="J121" s="36">
        <f>#N/A</f>
        <v>22.99174399550714</v>
      </c>
      <c r="Q121" s="89"/>
      <c r="U121" s="4"/>
    </row>
    <row r="122" spans="2:21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>
        <f>#N/A</f>
        <v>165.7</v>
      </c>
      <c r="H122" s="244">
        <f>#N/A</f>
        <v>0</v>
      </c>
      <c r="I122" s="36">
        <f>#N/A</f>
        <v>165.7</v>
      </c>
      <c r="J122" s="36" t="e">
        <f>#N/A</f>
        <v>#DIV/0!</v>
      </c>
      <c r="Q122" s="89"/>
      <c r="U122" s="4"/>
    </row>
    <row r="123" spans="2:21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>
        <f>#N/A</f>
        <v>-74.22000000000003</v>
      </c>
      <c r="H123" s="244">
        <f>#N/A</f>
        <v>91.84305967688756</v>
      </c>
      <c r="I123" s="36">
        <f>#N/A</f>
        <v>-3520.6200000000003</v>
      </c>
      <c r="J123" s="36">
        <f>#N/A</f>
        <v>19.183251842159628</v>
      </c>
      <c r="Q123" s="89"/>
      <c r="U123" s="4"/>
    </row>
    <row r="124" spans="2:17" s="242" customFormat="1" ht="25.5" customHeight="1" hidden="1">
      <c r="B124" s="275" t="s">
        <v>158</v>
      </c>
      <c r="C124" s="276"/>
      <c r="D124" s="277">
        <f>D112+D113</f>
        <v>2898424.04</v>
      </c>
      <c r="E124" s="277">
        <f>E112+E113</f>
        <v>1131675.26</v>
      </c>
      <c r="F124" s="277">
        <f>F112+F113</f>
        <v>1108626.0699999998</v>
      </c>
      <c r="G124" s="278">
        <f>#N/A</f>
        <v>-23049.190000000177</v>
      </c>
      <c r="H124" s="277">
        <f>#N/A</f>
        <v>97.96326819055847</v>
      </c>
      <c r="I124" s="279">
        <f>#N/A</f>
        <v>-1789797.9700000002</v>
      </c>
      <c r="J124" s="279">
        <f>#N/A</f>
        <v>38.24927114529452</v>
      </c>
      <c r="Q124" s="243"/>
    </row>
    <row r="125" ht="15" hidden="1"/>
    <row r="126" ht="15" hidden="1"/>
  </sheetData>
  <sheetProtection/>
  <mergeCells count="38">
    <mergeCell ref="A1:Q1"/>
    <mergeCell ref="B2:D2"/>
    <mergeCell ref="A3:A5"/>
    <mergeCell ref="B3:B5"/>
    <mergeCell ref="C3:C5"/>
    <mergeCell ref="D3:D5"/>
    <mergeCell ref="F3:J3"/>
    <mergeCell ref="N3:N5"/>
    <mergeCell ref="O3:U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T5:U5"/>
    <mergeCell ref="G92:J92"/>
    <mergeCell ref="O93:P93"/>
    <mergeCell ref="G94:H94"/>
    <mergeCell ref="J94:N94"/>
    <mergeCell ref="O94:P94"/>
    <mergeCell ref="G95:H95"/>
    <mergeCell ref="J95:N95"/>
    <mergeCell ref="O95:P95"/>
    <mergeCell ref="B99:C99"/>
    <mergeCell ref="G99:H99"/>
    <mergeCell ref="O101:P101"/>
    <mergeCell ref="G96:H96"/>
    <mergeCell ref="J96:N96"/>
    <mergeCell ref="B97:C97"/>
    <mergeCell ref="G97:H97"/>
    <mergeCell ref="J97:N97"/>
    <mergeCell ref="G98:H98"/>
  </mergeCells>
  <printOptions/>
  <pageMargins left="0.11811023622047245" right="0.11811023622047245" top="0.1968503937007874" bottom="0.1968503937007874" header="0" footer="0"/>
  <pageSetup fitToHeight="1" fitToWidth="1" orientation="portrait" paperSize="9" scale="4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4"/>
  <sheetViews>
    <sheetView zoomScale="80" zoomScaleNormal="80" zoomScalePageLayoutView="0" workbookViewId="0" topLeftCell="B1">
      <pane xSplit="2" ySplit="8" topLeftCell="D92" activePane="bottomRight" state="frozen"/>
      <selection pane="topLeft" activeCell="B1" sqref="B1"/>
      <selection pane="topRight" activeCell="D1" sqref="D1"/>
      <selection pane="bottomLeft" activeCell="B9" sqref="B9"/>
      <selection pane="bottomRight" activeCell="D129" sqref="D129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20" width="11.00390625" style="4" hidden="1" customWidth="1"/>
    <col min="21" max="21" width="11.00390625" style="89" hidden="1" customWidth="1"/>
    <col min="22" max="16384" width="9.125" style="4" customWidth="1"/>
  </cols>
  <sheetData>
    <row r="1" spans="1:21" s="1" customFormat="1" ht="26.25" customHeight="1">
      <c r="A1" s="396" t="s">
        <v>196</v>
      </c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  <c r="M1" s="396"/>
      <c r="N1" s="396"/>
      <c r="O1" s="396"/>
      <c r="P1" s="396"/>
      <c r="Q1" s="396"/>
      <c r="R1" s="86"/>
      <c r="S1" s="86"/>
      <c r="T1" s="86"/>
      <c r="U1" s="87"/>
    </row>
    <row r="2" spans="2:21" s="1" customFormat="1" ht="15.75" customHeight="1">
      <c r="B2" s="397"/>
      <c r="C2" s="397"/>
      <c r="D2" s="397"/>
      <c r="E2" s="2"/>
      <c r="F2" s="112"/>
      <c r="G2" s="2"/>
      <c r="H2" s="2"/>
      <c r="M2" s="1" t="s">
        <v>24</v>
      </c>
      <c r="Q2" s="17" t="s">
        <v>24</v>
      </c>
      <c r="R2" s="17"/>
      <c r="S2" s="17"/>
      <c r="T2" s="17"/>
      <c r="U2" s="88"/>
    </row>
    <row r="3" spans="1:21" s="3" customFormat="1" ht="13.5" customHeight="1">
      <c r="A3" s="398"/>
      <c r="B3" s="400"/>
      <c r="C3" s="401" t="s">
        <v>0</v>
      </c>
      <c r="D3" s="402" t="s">
        <v>150</v>
      </c>
      <c r="E3" s="32"/>
      <c r="F3" s="403" t="s">
        <v>26</v>
      </c>
      <c r="G3" s="404"/>
      <c r="H3" s="404"/>
      <c r="I3" s="404"/>
      <c r="J3" s="405"/>
      <c r="K3" s="83"/>
      <c r="L3" s="83"/>
      <c r="M3" s="83"/>
      <c r="N3" s="406" t="s">
        <v>191</v>
      </c>
      <c r="O3" s="409" t="s">
        <v>190</v>
      </c>
      <c r="P3" s="409"/>
      <c r="Q3" s="409"/>
      <c r="R3" s="409"/>
      <c r="S3" s="409"/>
      <c r="T3" s="409"/>
      <c r="U3" s="409"/>
    </row>
    <row r="4" spans="1:21" ht="22.5" customHeight="1">
      <c r="A4" s="398"/>
      <c r="B4" s="400"/>
      <c r="C4" s="401"/>
      <c r="D4" s="402"/>
      <c r="E4" s="392" t="s">
        <v>187</v>
      </c>
      <c r="F4" s="422" t="s">
        <v>33</v>
      </c>
      <c r="G4" s="410" t="s">
        <v>188</v>
      </c>
      <c r="H4" s="407" t="s">
        <v>189</v>
      </c>
      <c r="I4" s="410" t="s">
        <v>138</v>
      </c>
      <c r="J4" s="407" t="s">
        <v>139</v>
      </c>
      <c r="K4" s="85" t="s">
        <v>141</v>
      </c>
      <c r="L4" s="204" t="s">
        <v>113</v>
      </c>
      <c r="M4" s="90" t="s">
        <v>63</v>
      </c>
      <c r="N4" s="407"/>
      <c r="O4" s="394" t="s">
        <v>197</v>
      </c>
      <c r="P4" s="410" t="s">
        <v>49</v>
      </c>
      <c r="Q4" s="412" t="s">
        <v>48</v>
      </c>
      <c r="R4" s="91" t="s">
        <v>64</v>
      </c>
      <c r="S4" s="91"/>
      <c r="T4" s="91"/>
      <c r="U4" s="92" t="s">
        <v>63</v>
      </c>
    </row>
    <row r="5" spans="1:21" ht="67.5" customHeight="1">
      <c r="A5" s="399"/>
      <c r="B5" s="400"/>
      <c r="C5" s="401"/>
      <c r="D5" s="402"/>
      <c r="E5" s="393"/>
      <c r="F5" s="423"/>
      <c r="G5" s="411"/>
      <c r="H5" s="408"/>
      <c r="I5" s="411"/>
      <c r="J5" s="408"/>
      <c r="K5" s="413" t="s">
        <v>192</v>
      </c>
      <c r="L5" s="414"/>
      <c r="M5" s="415"/>
      <c r="N5" s="408"/>
      <c r="O5" s="395"/>
      <c r="P5" s="411"/>
      <c r="Q5" s="412"/>
      <c r="R5" s="434" t="s">
        <v>193</v>
      </c>
      <c r="S5" s="435"/>
      <c r="T5" s="419" t="s">
        <v>194</v>
      </c>
      <c r="U5" s="419"/>
    </row>
    <row r="6" spans="1:21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0"/>
      <c r="T6" s="10"/>
      <c r="U6" s="110">
        <v>17</v>
      </c>
    </row>
    <row r="7" spans="1:21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10"/>
      <c r="T7" s="10"/>
      <c r="U7" s="93"/>
    </row>
    <row r="8" spans="1:21" s="6" customFormat="1" ht="17.25">
      <c r="A8" s="7"/>
      <c r="B8" s="154" t="s">
        <v>9</v>
      </c>
      <c r="C8" s="70" t="s">
        <v>10</v>
      </c>
      <c r="D8" s="151">
        <f>D9+D15+D18+D19+D23+D40+D17</f>
        <v>1298451.1</v>
      </c>
      <c r="E8" s="151">
        <f>E9+E15+E18+E19+E23+E40+E17</f>
        <v>397977.5</v>
      </c>
      <c r="F8" s="287">
        <f>F9+F15+F18+F19+F23+F40</f>
        <v>400312.256</v>
      </c>
      <c r="G8" s="151">
        <f>#N/A</f>
        <v>2334.755999999994</v>
      </c>
      <c r="H8" s="152">
        <f>F8/E8*100</f>
        <v>100.58665527573795</v>
      </c>
      <c r="I8" s="153">
        <f>F8-D8</f>
        <v>-898138.844</v>
      </c>
      <c r="J8" s="153">
        <f>F8/D8*100</f>
        <v>30.829983200753574</v>
      </c>
      <c r="K8" s="151">
        <v>294130.62</v>
      </c>
      <c r="L8" s="151">
        <f>#N/A</f>
        <v>106181.636</v>
      </c>
      <c r="M8" s="205">
        <f>#N/A</f>
        <v>1.361001639339692</v>
      </c>
      <c r="N8" s="151">
        <f>N9+N15+N18+N19+N23+N17</f>
        <v>105438</v>
      </c>
      <c r="O8" s="151">
        <f>O9+O15+O18+O19+O23+O17</f>
        <v>106766.43600000002</v>
      </c>
      <c r="P8" s="151">
        <f>O8-N8</f>
        <v>1328.436000000016</v>
      </c>
      <c r="Q8" s="151">
        <f>O8/N8*100</f>
        <v>101.2599214704376</v>
      </c>
      <c r="R8" s="15">
        <f>R9+R15+R18+R19+R23</f>
        <v>105040</v>
      </c>
      <c r="S8" s="15">
        <f>O8-R8</f>
        <v>1726.436000000016</v>
      </c>
      <c r="T8" s="15"/>
      <c r="U8" s="15" t="e">
        <f>#N/A</f>
        <v>#N/A</v>
      </c>
    </row>
    <row r="9" spans="1:21" s="6" customFormat="1" ht="18">
      <c r="A9" s="8"/>
      <c r="B9" s="13" t="s">
        <v>79</v>
      </c>
      <c r="C9" s="43">
        <v>11010000</v>
      </c>
      <c r="D9" s="150">
        <v>766645</v>
      </c>
      <c r="E9" s="150">
        <v>220860</v>
      </c>
      <c r="F9" s="156">
        <v>223096.102</v>
      </c>
      <c r="G9" s="150">
        <f>#N/A</f>
        <v>2236.1020000000135</v>
      </c>
      <c r="H9" s="157">
        <f>F9/E9*100</f>
        <v>101.01245223218329</v>
      </c>
      <c r="I9" s="158">
        <f>F9-D9</f>
        <v>-543548.898</v>
      </c>
      <c r="J9" s="158">
        <f>F9/D9*100</f>
        <v>29.100313965394676</v>
      </c>
      <c r="K9" s="227">
        <v>158037.8</v>
      </c>
      <c r="L9" s="159">
        <f>#N/A</f>
        <v>65058.302000000025</v>
      </c>
      <c r="M9" s="206">
        <f>#N/A</f>
        <v>1.4116629186182041</v>
      </c>
      <c r="N9" s="157">
        <f>E9-березень!E9</f>
        <v>59000</v>
      </c>
      <c r="O9" s="160">
        <f>F9-березень!F9</f>
        <v>60908.74200000003</v>
      </c>
      <c r="P9" s="161">
        <f>O9-N9</f>
        <v>1908.7420000000275</v>
      </c>
      <c r="Q9" s="158">
        <f>O9/N9*100</f>
        <v>103.23515593220343</v>
      </c>
      <c r="R9" s="100">
        <v>61380</v>
      </c>
      <c r="S9" s="100">
        <f>O9-R9</f>
        <v>-471.2579999999725</v>
      </c>
      <c r="T9" s="100">
        <f>березень!F9+квітень!R9</f>
        <v>223567.36</v>
      </c>
      <c r="U9" s="100">
        <f>F9-T9</f>
        <v>-471.2579999999725</v>
      </c>
    </row>
    <row r="10" spans="1:21" s="6" customFormat="1" ht="15" customHeight="1" hidden="1">
      <c r="A10" s="8"/>
      <c r="B10" s="121" t="s">
        <v>89</v>
      </c>
      <c r="C10" s="102">
        <v>11010100</v>
      </c>
      <c r="D10" s="103">
        <v>701317</v>
      </c>
      <c r="E10" s="103">
        <v>200136</v>
      </c>
      <c r="F10" s="140">
        <v>204365.86</v>
      </c>
      <c r="G10" s="103">
        <f>#N/A</f>
        <v>4229.859999999986</v>
      </c>
      <c r="H10" s="30">
        <f>#N/A</f>
        <v>102.11349282487907</v>
      </c>
      <c r="I10" s="104">
        <f>#N/A</f>
        <v>-496951.14</v>
      </c>
      <c r="J10" s="104">
        <f>#N/A</f>
        <v>29.14029746890493</v>
      </c>
      <c r="K10" s="106">
        <v>137815.99</v>
      </c>
      <c r="L10" s="106">
        <f>#N/A</f>
        <v>66549.87</v>
      </c>
      <c r="M10" s="207">
        <f>#N/A</f>
        <v>1.4828893222041941</v>
      </c>
      <c r="N10" s="105">
        <f>E10-березень!E10</f>
        <v>53624</v>
      </c>
      <c r="O10" s="144">
        <f>F10-березень!F10</f>
        <v>56050.48999999999</v>
      </c>
      <c r="P10" s="106">
        <f>#N/A</f>
        <v>2426.4899999999907</v>
      </c>
      <c r="Q10" s="104">
        <f>#N/A</f>
        <v>104.52500745934654</v>
      </c>
      <c r="R10" s="37"/>
      <c r="S10" s="100">
        <f>#N/A</f>
        <v>56050.48999999999</v>
      </c>
      <c r="T10" s="37"/>
      <c r="U10" s="94"/>
    </row>
    <row r="11" spans="1:21" s="6" customFormat="1" ht="15" customHeight="1" hidden="1">
      <c r="A11" s="8"/>
      <c r="B11" s="121" t="s">
        <v>85</v>
      </c>
      <c r="C11" s="102">
        <v>11010200</v>
      </c>
      <c r="D11" s="103">
        <v>46506</v>
      </c>
      <c r="E11" s="103">
        <v>14700</v>
      </c>
      <c r="F11" s="140">
        <v>12429.15</v>
      </c>
      <c r="G11" s="103">
        <f>#N/A</f>
        <v>-2270.8500000000004</v>
      </c>
      <c r="H11" s="30">
        <f>#N/A</f>
        <v>84.55204081632652</v>
      </c>
      <c r="I11" s="104">
        <f>#N/A</f>
        <v>-34076.85</v>
      </c>
      <c r="J11" s="104">
        <f>#N/A</f>
        <v>26.725906334666494</v>
      </c>
      <c r="K11" s="106">
        <v>11487.54</v>
      </c>
      <c r="L11" s="106">
        <f>#N/A</f>
        <v>941.6099999999988</v>
      </c>
      <c r="M11" s="207">
        <f>#N/A</f>
        <v>1.081967940916854</v>
      </c>
      <c r="N11" s="105">
        <f>E11-березень!E11</f>
        <v>3900</v>
      </c>
      <c r="O11" s="144">
        <f>F11-березень!F11</f>
        <v>3324.67</v>
      </c>
      <c r="P11" s="106">
        <f>#N/A</f>
        <v>-575.3299999999999</v>
      </c>
      <c r="Q11" s="104">
        <f>#N/A</f>
        <v>85.24794871794872</v>
      </c>
      <c r="R11" s="37"/>
      <c r="S11" s="100">
        <f>#N/A</f>
        <v>3324.67</v>
      </c>
      <c r="T11" s="37"/>
      <c r="U11" s="94"/>
    </row>
    <row r="12" spans="1:21" s="6" customFormat="1" ht="15" customHeight="1" hidden="1">
      <c r="A12" s="8"/>
      <c r="B12" s="121" t="s">
        <v>88</v>
      </c>
      <c r="C12" s="102">
        <v>11010400</v>
      </c>
      <c r="D12" s="103">
        <v>8280</v>
      </c>
      <c r="E12" s="103">
        <v>2340</v>
      </c>
      <c r="F12" s="140">
        <v>2609.59</v>
      </c>
      <c r="G12" s="103">
        <f>#N/A</f>
        <v>269.59000000000015</v>
      </c>
      <c r="H12" s="30">
        <f>#N/A</f>
        <v>111.52094017094018</v>
      </c>
      <c r="I12" s="104">
        <f>#N/A</f>
        <v>-5670.41</v>
      </c>
      <c r="J12" s="104">
        <f>#N/A</f>
        <v>31.51678743961353</v>
      </c>
      <c r="K12" s="106">
        <v>4096.43</v>
      </c>
      <c r="L12" s="106">
        <f>#N/A</f>
        <v>-1486.8400000000001</v>
      </c>
      <c r="M12" s="207">
        <f>#N/A</f>
        <v>0.6370400568299714</v>
      </c>
      <c r="N12" s="105">
        <f>E12-березень!E12</f>
        <v>600</v>
      </c>
      <c r="O12" s="144">
        <f>F12-березень!F12</f>
        <v>844.9000000000001</v>
      </c>
      <c r="P12" s="106">
        <f>#N/A</f>
        <v>244.9000000000001</v>
      </c>
      <c r="Q12" s="104">
        <f>#N/A</f>
        <v>140.8166666666667</v>
      </c>
      <c r="R12" s="37"/>
      <c r="S12" s="100">
        <f>#N/A</f>
        <v>844.9000000000001</v>
      </c>
      <c r="T12" s="37"/>
      <c r="U12" s="94"/>
    </row>
    <row r="13" spans="1:21" s="6" customFormat="1" ht="15" customHeight="1" hidden="1">
      <c r="A13" s="8"/>
      <c r="B13" s="121" t="s">
        <v>86</v>
      </c>
      <c r="C13" s="102">
        <v>11010500</v>
      </c>
      <c r="D13" s="103">
        <v>9390</v>
      </c>
      <c r="E13" s="103">
        <v>3300</v>
      </c>
      <c r="F13" s="140">
        <v>3209.33</v>
      </c>
      <c r="G13" s="103">
        <f>#N/A</f>
        <v>-90.67000000000007</v>
      </c>
      <c r="H13" s="30">
        <f>#N/A</f>
        <v>97.25242424242424</v>
      </c>
      <c r="I13" s="104">
        <f>#N/A</f>
        <v>-6180.67</v>
      </c>
      <c r="J13" s="104">
        <f>#N/A</f>
        <v>34.17816826411075</v>
      </c>
      <c r="K13" s="106">
        <v>3211.48</v>
      </c>
      <c r="L13" s="106">
        <f>#N/A</f>
        <v>-2.150000000000091</v>
      </c>
      <c r="M13" s="207">
        <f>#N/A</f>
        <v>0.999330526735337</v>
      </c>
      <c r="N13" s="105">
        <f>E13-березень!E13</f>
        <v>780</v>
      </c>
      <c r="O13" s="144">
        <f>F13-березень!F13</f>
        <v>580.1700000000001</v>
      </c>
      <c r="P13" s="106">
        <f>#N/A</f>
        <v>-199.82999999999993</v>
      </c>
      <c r="Q13" s="104">
        <f>#N/A</f>
        <v>74.38076923076923</v>
      </c>
      <c r="R13" s="37"/>
      <c r="S13" s="100">
        <f>#N/A</f>
        <v>580.1700000000001</v>
      </c>
      <c r="T13" s="37"/>
      <c r="U13" s="94"/>
    </row>
    <row r="14" spans="1:21" s="6" customFormat="1" ht="15" customHeight="1" hidden="1">
      <c r="A14" s="8"/>
      <c r="B14" s="121" t="s">
        <v>87</v>
      </c>
      <c r="C14" s="102">
        <v>11010900</v>
      </c>
      <c r="D14" s="103">
        <v>1152</v>
      </c>
      <c r="E14" s="103">
        <v>384</v>
      </c>
      <c r="F14" s="140">
        <v>482.17</v>
      </c>
      <c r="G14" s="103">
        <f>#N/A</f>
        <v>98.17000000000002</v>
      </c>
      <c r="H14" s="30">
        <f>#N/A</f>
        <v>125.56510416666666</v>
      </c>
      <c r="I14" s="104">
        <f>#N/A</f>
        <v>-669.8299999999999</v>
      </c>
      <c r="J14" s="104">
        <f>#N/A</f>
        <v>41.85503472222222</v>
      </c>
      <c r="K14" s="106">
        <v>1426.36</v>
      </c>
      <c r="L14" s="106">
        <f>#N/A</f>
        <v>-944.1899999999998</v>
      </c>
      <c r="M14" s="207">
        <f>#N/A</f>
        <v>0.33804228946409043</v>
      </c>
      <c r="N14" s="105">
        <f>E14-березень!E14</f>
        <v>96</v>
      </c>
      <c r="O14" s="144">
        <f>F14-березень!F14</f>
        <v>108.5</v>
      </c>
      <c r="P14" s="106">
        <f>#N/A</f>
        <v>12.5</v>
      </c>
      <c r="Q14" s="104">
        <f>#N/A</f>
        <v>113.02083333333333</v>
      </c>
      <c r="R14" s="37"/>
      <c r="S14" s="100">
        <f>#N/A</f>
        <v>108.5</v>
      </c>
      <c r="T14" s="37"/>
      <c r="U14" s="94"/>
    </row>
    <row r="15" spans="1:21" s="6" customFormat="1" ht="30.75">
      <c r="A15" s="8"/>
      <c r="B15" s="12" t="s">
        <v>11</v>
      </c>
      <c r="C15" s="43">
        <v>11020200</v>
      </c>
      <c r="D15" s="150">
        <v>551</v>
      </c>
      <c r="E15" s="150">
        <v>171</v>
      </c>
      <c r="F15" s="156">
        <v>-316.36</v>
      </c>
      <c r="G15" s="150">
        <f>#N/A</f>
        <v>-487.36</v>
      </c>
      <c r="H15" s="157">
        <f>F15/E15*100</f>
        <v>-185.00584795321637</v>
      </c>
      <c r="I15" s="158">
        <f>#N/A</f>
        <v>-867.36</v>
      </c>
      <c r="J15" s="158">
        <f>F15/D15*100</f>
        <v>-57.415607985480946</v>
      </c>
      <c r="K15" s="161">
        <v>185.84</v>
      </c>
      <c r="L15" s="161">
        <f>#N/A</f>
        <v>-502.20000000000005</v>
      </c>
      <c r="M15" s="208">
        <f>#N/A</f>
        <v>-1.7023245802841154</v>
      </c>
      <c r="N15" s="164">
        <f>E15-березень!E15</f>
        <v>0</v>
      </c>
      <c r="O15" s="168">
        <f>F15-березень!F15</f>
        <v>50.06</v>
      </c>
      <c r="P15" s="161">
        <f>#N/A</f>
        <v>50.06</v>
      </c>
      <c r="Q15" s="158"/>
      <c r="R15" s="37">
        <v>46</v>
      </c>
      <c r="S15" s="100">
        <f>#N/A</f>
        <v>4.060000000000002</v>
      </c>
      <c r="T15" s="37"/>
      <c r="U15" s="94"/>
    </row>
    <row r="16" spans="1:21" s="6" customFormat="1" ht="18" customHeight="1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>#N/A</f>
        <v>0</v>
      </c>
      <c r="H16" s="157" t="e">
        <f>F16/E16/100</f>
        <v>#DIV/0!</v>
      </c>
      <c r="I16" s="37">
        <f>#N/A</f>
        <v>0</v>
      </c>
      <c r="J16" s="37" t="e">
        <f>#N/A</f>
        <v>#DIV/0!</v>
      </c>
      <c r="K16" s="106">
        <v>381.9</v>
      </c>
      <c r="L16" s="161">
        <f>#N/A</f>
        <v>-381.9</v>
      </c>
      <c r="M16" s="208">
        <f>#N/A</f>
        <v>0</v>
      </c>
      <c r="N16" s="164">
        <f>E16-березень!E16</f>
        <v>0</v>
      </c>
      <c r="O16" s="168">
        <f>F16-березень!F16</f>
        <v>0</v>
      </c>
      <c r="P16" s="36">
        <f>#N/A</f>
        <v>0</v>
      </c>
      <c r="Q16" s="158" t="e">
        <f>#N/A</f>
        <v>#DIV/0!</v>
      </c>
      <c r="R16" s="104">
        <f>O16-358.81</f>
        <v>-358.81</v>
      </c>
      <c r="S16" s="100">
        <f>#N/A</f>
        <v>358.81</v>
      </c>
      <c r="T16" s="104"/>
      <c r="U16" s="109">
        <f>O16/358.79</f>
        <v>0</v>
      </c>
    </row>
    <row r="17" spans="1:21" s="6" customFormat="1" ht="30.75" customHeight="1" hidden="1">
      <c r="A17" s="8"/>
      <c r="B17" s="232" t="s">
        <v>116</v>
      </c>
      <c r="C17" s="120">
        <v>13010200</v>
      </c>
      <c r="D17" s="162">
        <v>0</v>
      </c>
      <c r="E17" s="162">
        <v>0</v>
      </c>
      <c r="F17" s="163">
        <v>0</v>
      </c>
      <c r="G17" s="162">
        <f>#N/A</f>
        <v>0</v>
      </c>
      <c r="H17" s="157" t="e">
        <f>F17/E17/100</f>
        <v>#DIV/0!</v>
      </c>
      <c r="I17" s="165">
        <f>#N/A</f>
        <v>0</v>
      </c>
      <c r="J17" s="165"/>
      <c r="K17" s="167">
        <v>0.14</v>
      </c>
      <c r="L17" s="161">
        <f>#N/A</f>
        <v>-0.14</v>
      </c>
      <c r="M17" s="208">
        <f>#N/A</f>
        <v>0</v>
      </c>
      <c r="N17" s="164">
        <f>E17-березень!E17</f>
        <v>0</v>
      </c>
      <c r="O17" s="168">
        <f>F17-березень!F17</f>
        <v>0</v>
      </c>
      <c r="P17" s="167">
        <f>#N/A</f>
        <v>0</v>
      </c>
      <c r="Q17" s="158" t="e">
        <f>#N/A</f>
        <v>#DIV/0!</v>
      </c>
      <c r="R17" s="104"/>
      <c r="S17" s="100">
        <f>#N/A</f>
        <v>0</v>
      </c>
      <c r="T17" s="104"/>
      <c r="U17" s="109"/>
    </row>
    <row r="18" spans="1:21" s="6" customFormat="1" ht="30.75">
      <c r="A18" s="8"/>
      <c r="B18" s="13" t="s">
        <v>117</v>
      </c>
      <c r="C18" s="43">
        <v>13030200</v>
      </c>
      <c r="D18" s="150">
        <v>125</v>
      </c>
      <c r="E18" s="150">
        <v>70</v>
      </c>
      <c r="F18" s="156">
        <v>118.46</v>
      </c>
      <c r="G18" s="150">
        <f>#N/A</f>
        <v>48.459999999999994</v>
      </c>
      <c r="H18" s="157">
        <f>F18/E18*100</f>
        <v>169.22857142857143</v>
      </c>
      <c r="I18" s="158">
        <f>#N/A</f>
        <v>-6.540000000000006</v>
      </c>
      <c r="J18" s="158">
        <f>#N/A</f>
        <v>94.768</v>
      </c>
      <c r="K18" s="161">
        <v>105.8</v>
      </c>
      <c r="L18" s="161">
        <f>#N/A</f>
        <v>12.659999999999997</v>
      </c>
      <c r="M18" s="208">
        <f>#N/A</f>
        <v>1.1196597353497164</v>
      </c>
      <c r="N18" s="164">
        <f>E18-березень!E18</f>
        <v>0</v>
      </c>
      <c r="O18" s="168">
        <f>F18-березень!F18</f>
        <v>0</v>
      </c>
      <c r="P18" s="161">
        <f>#N/A</f>
        <v>0</v>
      </c>
      <c r="Q18" s="158"/>
      <c r="R18" s="37">
        <v>0</v>
      </c>
      <c r="S18" s="100">
        <f>#N/A</f>
        <v>0</v>
      </c>
      <c r="T18" s="37"/>
      <c r="U18" s="94"/>
    </row>
    <row r="19" spans="1:21" s="6" customFormat="1" ht="18">
      <c r="A19" s="8"/>
      <c r="B19" s="13" t="s">
        <v>172</v>
      </c>
      <c r="C19" s="43"/>
      <c r="D19" s="150">
        <f>D20+D21+D22</f>
        <v>130000</v>
      </c>
      <c r="E19" s="150">
        <f>E20+E21+E22</f>
        <v>37900</v>
      </c>
      <c r="F19" s="156">
        <v>36104.764</v>
      </c>
      <c r="G19" s="162">
        <f>#N/A</f>
        <v>-1795.2359999999971</v>
      </c>
      <c r="H19" s="164">
        <f>#N/A</f>
        <v>95.26322955145119</v>
      </c>
      <c r="I19" s="165">
        <f>#N/A</f>
        <v>-93895.236</v>
      </c>
      <c r="J19" s="165">
        <f>#N/A</f>
        <v>27.77289538461539</v>
      </c>
      <c r="K19" s="161">
        <v>26018.63</v>
      </c>
      <c r="L19" s="167">
        <f>#N/A</f>
        <v>10086.134000000002</v>
      </c>
      <c r="M19" s="213">
        <f>#N/A</f>
        <v>1.3876504643019252</v>
      </c>
      <c r="N19" s="164">
        <f>E19-березень!E19</f>
        <v>10100</v>
      </c>
      <c r="O19" s="168">
        <f>F19-березень!F19</f>
        <v>8470.904000000002</v>
      </c>
      <c r="P19" s="167">
        <f>#N/A</f>
        <v>-1629.0959999999977</v>
      </c>
      <c r="Q19" s="165">
        <f>#N/A</f>
        <v>83.87033663366338</v>
      </c>
      <c r="R19" s="37">
        <v>8000</v>
      </c>
      <c r="S19" s="100">
        <f>#N/A</f>
        <v>470.90400000000227</v>
      </c>
      <c r="T19" s="37"/>
      <c r="U19" s="94"/>
    </row>
    <row r="20" spans="1:21" s="6" customFormat="1" ht="61.5">
      <c r="A20" s="8"/>
      <c r="B20" s="252" t="s">
        <v>205</v>
      </c>
      <c r="C20" s="123">
        <v>14040000</v>
      </c>
      <c r="D20" s="253">
        <v>76500</v>
      </c>
      <c r="E20" s="253">
        <v>23900</v>
      </c>
      <c r="F20" s="201">
        <v>21979.58</v>
      </c>
      <c r="G20" s="253">
        <f>#N/A</f>
        <v>-1920.4199999999983</v>
      </c>
      <c r="H20" s="195">
        <f>#N/A</f>
        <v>91.96476987447699</v>
      </c>
      <c r="I20" s="254">
        <f>#N/A</f>
        <v>-54520.42</v>
      </c>
      <c r="J20" s="254">
        <f>#N/A</f>
        <v>28.73147712418301</v>
      </c>
      <c r="K20" s="255">
        <v>26018.6</v>
      </c>
      <c r="L20" s="166">
        <f>#N/A</f>
        <v>-4039.019999999997</v>
      </c>
      <c r="M20" s="256">
        <f>#N/A</f>
        <v>0.8447641302760334</v>
      </c>
      <c r="N20" s="195">
        <f>E20-березень!E20</f>
        <v>-3900</v>
      </c>
      <c r="O20" s="179">
        <f>F20-березень!F20</f>
        <v>4245.52</v>
      </c>
      <c r="P20" s="166">
        <f>#N/A</f>
        <v>8145.52</v>
      </c>
      <c r="Q20" s="254">
        <f>#N/A</f>
        <v>-108.85948717948719</v>
      </c>
      <c r="R20" s="107">
        <v>4300</v>
      </c>
      <c r="S20" s="100">
        <f>#N/A</f>
        <v>-54.47999999999956</v>
      </c>
      <c r="T20" s="107"/>
      <c r="U20" s="108"/>
    </row>
    <row r="21" spans="1:21" s="6" customFormat="1" ht="18">
      <c r="A21" s="8"/>
      <c r="B21" s="252" t="s">
        <v>170</v>
      </c>
      <c r="C21" s="123">
        <v>14021900</v>
      </c>
      <c r="D21" s="253">
        <v>10700</v>
      </c>
      <c r="E21" s="253">
        <v>3000</v>
      </c>
      <c r="F21" s="201">
        <v>3118.94</v>
      </c>
      <c r="G21" s="253">
        <f>#N/A</f>
        <v>118.94000000000005</v>
      </c>
      <c r="H21" s="195"/>
      <c r="I21" s="254">
        <f>#N/A</f>
        <v>-7581.0599999999995</v>
      </c>
      <c r="J21" s="254">
        <f>#N/A</f>
        <v>29.14897196261682</v>
      </c>
      <c r="K21" s="255">
        <v>0</v>
      </c>
      <c r="L21" s="166">
        <f>#N/A</f>
        <v>3118.94</v>
      </c>
      <c r="M21" s="256"/>
      <c r="N21" s="195">
        <f>E21-березень!E21</f>
        <v>3000</v>
      </c>
      <c r="O21" s="179">
        <f>F21-березень!F21</f>
        <v>882.1500000000001</v>
      </c>
      <c r="P21" s="166">
        <f>#N/A</f>
        <v>-2117.85</v>
      </c>
      <c r="Q21" s="254"/>
      <c r="R21" s="107">
        <v>700</v>
      </c>
      <c r="S21" s="100">
        <f>#N/A</f>
        <v>182.1500000000001</v>
      </c>
      <c r="T21" s="107"/>
      <c r="U21" s="108"/>
    </row>
    <row r="22" spans="1:21" s="6" customFormat="1" ht="18">
      <c r="A22" s="8"/>
      <c r="B22" s="252" t="s">
        <v>171</v>
      </c>
      <c r="C22" s="123">
        <v>14031900</v>
      </c>
      <c r="D22" s="253">
        <v>42800</v>
      </c>
      <c r="E22" s="253">
        <v>11000</v>
      </c>
      <c r="F22" s="201">
        <v>11006.24</v>
      </c>
      <c r="G22" s="253">
        <f>#N/A</f>
        <v>6.239999999999782</v>
      </c>
      <c r="H22" s="195"/>
      <c r="I22" s="254">
        <f>#N/A</f>
        <v>-31793.760000000002</v>
      </c>
      <c r="J22" s="254">
        <f>#N/A</f>
        <v>25.715514018691586</v>
      </c>
      <c r="K22" s="255">
        <v>0</v>
      </c>
      <c r="L22" s="166">
        <f>#N/A</f>
        <v>11006.24</v>
      </c>
      <c r="M22" s="256"/>
      <c r="N22" s="195">
        <f>E22-березень!E22</f>
        <v>11000</v>
      </c>
      <c r="O22" s="179">
        <f>F22-березень!F22</f>
        <v>3343.2299999999996</v>
      </c>
      <c r="P22" s="166">
        <f>#N/A</f>
        <v>-7656.77</v>
      </c>
      <c r="Q22" s="254"/>
      <c r="R22" s="107">
        <v>3000</v>
      </c>
      <c r="S22" s="100">
        <f>#N/A</f>
        <v>343.22999999999956</v>
      </c>
      <c r="T22" s="107"/>
      <c r="U22" s="108"/>
    </row>
    <row r="23" spans="1:21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138976.5</v>
      </c>
      <c r="F23" s="223">
        <f>F24+F32+F33+F34+F35</f>
        <v>141309.28999999998</v>
      </c>
      <c r="G23" s="150">
        <f>#N/A</f>
        <v>2332.789999999979</v>
      </c>
      <c r="H23" s="157">
        <f>#N/A</f>
        <v>101.67854997067849</v>
      </c>
      <c r="I23" s="158">
        <f>#N/A</f>
        <v>-259820.81</v>
      </c>
      <c r="J23" s="158">
        <f>#N/A</f>
        <v>35.22779517169118</v>
      </c>
      <c r="K23" s="158">
        <v>109782.5</v>
      </c>
      <c r="L23" s="161">
        <f>#N/A</f>
        <v>31526.78999999998</v>
      </c>
      <c r="M23" s="209">
        <f>#N/A</f>
        <v>1.2871750051237674</v>
      </c>
      <c r="N23" s="157">
        <f>E23-березень!E23</f>
        <v>36338</v>
      </c>
      <c r="O23" s="160">
        <f>F23-березень!F23</f>
        <v>37336.72999999998</v>
      </c>
      <c r="P23" s="161">
        <f>#N/A</f>
        <v>998.7299999999814</v>
      </c>
      <c r="Q23" s="158">
        <f>#N/A</f>
        <v>102.74844515383342</v>
      </c>
      <c r="R23" s="283">
        <f>R24+R32+R33+R34+R35</f>
        <v>35614</v>
      </c>
      <c r="S23" s="100">
        <f>#N/A</f>
        <v>1722.7299999999814</v>
      </c>
      <c r="T23" s="107"/>
      <c r="U23" s="108"/>
    </row>
    <row r="24" spans="1:21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67343.8</v>
      </c>
      <c r="F24" s="223">
        <f>F25+F28+F29</f>
        <v>67676.99</v>
      </c>
      <c r="G24" s="150">
        <f>#N/A</f>
        <v>333.1900000000023</v>
      </c>
      <c r="H24" s="157">
        <f>#N/A</f>
        <v>100.49475972546841</v>
      </c>
      <c r="I24" s="158">
        <f>#N/A</f>
        <v>-138944.01</v>
      </c>
      <c r="J24" s="158">
        <f>#N/A</f>
        <v>32.754168259760625</v>
      </c>
      <c r="K24" s="158">
        <v>58036.24</v>
      </c>
      <c r="L24" s="161">
        <f>#N/A</f>
        <v>9640.750000000007</v>
      </c>
      <c r="M24" s="209">
        <f>#N/A</f>
        <v>1.1661160337058363</v>
      </c>
      <c r="N24" s="157">
        <f>E24-березень!E24</f>
        <v>19503</v>
      </c>
      <c r="O24" s="160">
        <f>F24-березень!F24</f>
        <v>19113.630000000005</v>
      </c>
      <c r="P24" s="161">
        <f>#N/A</f>
        <v>-389.36999999999534</v>
      </c>
      <c r="Q24" s="158">
        <f>#N/A</f>
        <v>98.00353791724352</v>
      </c>
      <c r="R24" s="107">
        <f>R25+R28+R29</f>
        <v>18772</v>
      </c>
      <c r="S24" s="100">
        <f>#N/A</f>
        <v>341.63000000000466</v>
      </c>
      <c r="T24" s="107"/>
      <c r="U24" s="108"/>
    </row>
    <row r="25" spans="1:21" s="6" customFormat="1" ht="18">
      <c r="A25" s="8"/>
      <c r="B25" s="50" t="s">
        <v>74</v>
      </c>
      <c r="C25" s="123"/>
      <c r="D25" s="171">
        <v>22809</v>
      </c>
      <c r="E25" s="171">
        <v>9330</v>
      </c>
      <c r="F25" s="172">
        <v>9746.31</v>
      </c>
      <c r="G25" s="171">
        <f>#N/A</f>
        <v>416.3099999999995</v>
      </c>
      <c r="H25" s="173">
        <f>#N/A</f>
        <v>104.4620578778135</v>
      </c>
      <c r="I25" s="174">
        <f>#N/A</f>
        <v>-13062.69</v>
      </c>
      <c r="J25" s="174">
        <f>#N/A</f>
        <v>42.73010653689333</v>
      </c>
      <c r="K25" s="175">
        <v>8413.21</v>
      </c>
      <c r="L25" s="166">
        <f>#N/A</f>
        <v>1333.1000000000004</v>
      </c>
      <c r="M25" s="215">
        <f>#N/A</f>
        <v>1.1584531944406475</v>
      </c>
      <c r="N25" s="195">
        <f>E25-березень!E25</f>
        <v>4380</v>
      </c>
      <c r="O25" s="179">
        <f>F25-березень!F25</f>
        <v>4532.37</v>
      </c>
      <c r="P25" s="177">
        <f>#N/A</f>
        <v>152.3699999999999</v>
      </c>
      <c r="Q25" s="174">
        <f>#N/A</f>
        <v>103.47876712328767</v>
      </c>
      <c r="R25" s="107">
        <v>3710</v>
      </c>
      <c r="S25" s="100">
        <f>#N/A</f>
        <v>822.3699999999999</v>
      </c>
      <c r="T25" s="107"/>
      <c r="U25" s="108"/>
    </row>
    <row r="26" spans="1:21" s="6" customFormat="1" ht="18" customHeight="1" hidden="1">
      <c r="A26" s="8"/>
      <c r="B26" s="196" t="s">
        <v>109</v>
      </c>
      <c r="C26" s="197"/>
      <c r="D26" s="198">
        <v>1822.3</v>
      </c>
      <c r="E26" s="198">
        <v>550</v>
      </c>
      <c r="F26" s="163">
        <v>200.24</v>
      </c>
      <c r="G26" s="198">
        <f>#N/A</f>
        <v>-349.76</v>
      </c>
      <c r="H26" s="199">
        <f>#N/A</f>
        <v>36.407272727272726</v>
      </c>
      <c r="I26" s="200">
        <f>#N/A</f>
        <v>-1622.06</v>
      </c>
      <c r="J26" s="200">
        <f>#N/A</f>
        <v>10.988311474510235</v>
      </c>
      <c r="K26" s="200">
        <v>252.55</v>
      </c>
      <c r="L26" s="200">
        <f>#N/A</f>
        <v>-52.31</v>
      </c>
      <c r="M26" s="228">
        <f>#N/A</f>
        <v>0.7928726984755494</v>
      </c>
      <c r="N26" s="237">
        <f>E26-березень!E26</f>
        <v>300</v>
      </c>
      <c r="O26" s="237">
        <f>F26-березень!F26</f>
        <v>43.170000000000016</v>
      </c>
      <c r="P26" s="200">
        <f>#N/A</f>
        <v>-256.83</v>
      </c>
      <c r="Q26" s="200">
        <f>#N/A</f>
        <v>14.390000000000006</v>
      </c>
      <c r="R26" s="107"/>
      <c r="S26" s="100">
        <f>#N/A</f>
        <v>43.170000000000016</v>
      </c>
      <c r="T26" s="107"/>
      <c r="U26" s="108"/>
    </row>
    <row r="27" spans="1:21" s="6" customFormat="1" ht="18" customHeight="1" hidden="1">
      <c r="A27" s="8"/>
      <c r="B27" s="196" t="s">
        <v>110</v>
      </c>
      <c r="C27" s="197"/>
      <c r="D27" s="198">
        <v>20986.7</v>
      </c>
      <c r="E27" s="198">
        <v>8780</v>
      </c>
      <c r="F27" s="163">
        <v>9546.07</v>
      </c>
      <c r="G27" s="198">
        <f>#N/A</f>
        <v>766.0699999999997</v>
      </c>
      <c r="H27" s="199">
        <f>#N/A</f>
        <v>108.72517084282461</v>
      </c>
      <c r="I27" s="200">
        <f>#N/A</f>
        <v>-11440.630000000001</v>
      </c>
      <c r="J27" s="200">
        <f>#N/A</f>
        <v>45.48628417045081</v>
      </c>
      <c r="K27" s="200">
        <v>8160.66</v>
      </c>
      <c r="L27" s="200">
        <f>#N/A</f>
        <v>1385.4099999999999</v>
      </c>
      <c r="M27" s="228">
        <f>#N/A</f>
        <v>1.1697669061080844</v>
      </c>
      <c r="N27" s="237">
        <f>E27-березень!E27</f>
        <v>4080</v>
      </c>
      <c r="O27" s="237">
        <f>F27-березень!F27</f>
        <v>4489.2</v>
      </c>
      <c r="P27" s="200">
        <f>#N/A</f>
        <v>409.1999999999998</v>
      </c>
      <c r="Q27" s="200">
        <f>#N/A</f>
        <v>110.02941176470588</v>
      </c>
      <c r="R27" s="107"/>
      <c r="S27" s="100">
        <f>#N/A</f>
        <v>4489.2</v>
      </c>
      <c r="T27" s="107"/>
      <c r="U27" s="108"/>
    </row>
    <row r="28" spans="1:21" s="6" customFormat="1" ht="18">
      <c r="A28" s="8"/>
      <c r="B28" s="50" t="s">
        <v>75</v>
      </c>
      <c r="C28" s="123"/>
      <c r="D28" s="171">
        <v>820</v>
      </c>
      <c r="E28" s="171">
        <v>123.8</v>
      </c>
      <c r="F28" s="172">
        <v>104.52</v>
      </c>
      <c r="G28" s="171">
        <f>#N/A</f>
        <v>-19.28</v>
      </c>
      <c r="H28" s="173">
        <f>#N/A</f>
        <v>84.42649434571891</v>
      </c>
      <c r="I28" s="174">
        <f>#N/A</f>
        <v>-715.48</v>
      </c>
      <c r="J28" s="174">
        <f>#N/A</f>
        <v>12.746341463414634</v>
      </c>
      <c r="K28" s="174">
        <v>386.58</v>
      </c>
      <c r="L28" s="174">
        <f>#N/A</f>
        <v>-282.06</v>
      </c>
      <c r="M28" s="212">
        <f>#N/A</f>
        <v>0.27037094521185784</v>
      </c>
      <c r="N28" s="195">
        <f>E28-березень!E28</f>
        <v>68</v>
      </c>
      <c r="O28" s="179">
        <f>F28-березень!F28</f>
        <v>73.27</v>
      </c>
      <c r="P28" s="177">
        <f>#N/A</f>
        <v>5.269999999999996</v>
      </c>
      <c r="Q28" s="174">
        <f>O28/N28*100</f>
        <v>107.74999999999999</v>
      </c>
      <c r="R28" s="107">
        <v>7</v>
      </c>
      <c r="S28" s="100">
        <f>#N/A</f>
        <v>66.27</v>
      </c>
      <c r="T28" s="107"/>
      <c r="U28" s="108"/>
    </row>
    <row r="29" spans="1:21" s="6" customFormat="1" ht="18">
      <c r="A29" s="8"/>
      <c r="B29" s="50" t="s">
        <v>76</v>
      </c>
      <c r="C29" s="123"/>
      <c r="D29" s="171">
        <v>182992</v>
      </c>
      <c r="E29" s="171">
        <v>57890</v>
      </c>
      <c r="F29" s="172">
        <v>57826.16</v>
      </c>
      <c r="G29" s="171">
        <f>#N/A</f>
        <v>-63.83999999999651</v>
      </c>
      <c r="H29" s="173">
        <f>#N/A</f>
        <v>99.88972188633616</v>
      </c>
      <c r="I29" s="174">
        <f>#N/A</f>
        <v>-125165.84</v>
      </c>
      <c r="J29" s="174">
        <f>#N/A</f>
        <v>31.60037597272012</v>
      </c>
      <c r="K29" s="175">
        <v>49236.46</v>
      </c>
      <c r="L29" s="175">
        <f>#N/A</f>
        <v>8589.700000000004</v>
      </c>
      <c r="M29" s="211">
        <f>#N/A</f>
        <v>1.1744581149822713</v>
      </c>
      <c r="N29" s="195">
        <f>E29-березень!E29</f>
        <v>15055</v>
      </c>
      <c r="O29" s="179">
        <f>F29-березень!F29</f>
        <v>14507.990000000005</v>
      </c>
      <c r="P29" s="177">
        <f>#N/A</f>
        <v>-547.0099999999948</v>
      </c>
      <c r="Q29" s="174">
        <f>O29/N29*100</f>
        <v>96.36658917303225</v>
      </c>
      <c r="R29" s="107">
        <v>15055</v>
      </c>
      <c r="S29" s="100">
        <f>#N/A</f>
        <v>-547.0099999999948</v>
      </c>
      <c r="T29" s="107"/>
      <c r="U29" s="108"/>
    </row>
    <row r="30" spans="1:21" s="6" customFormat="1" ht="18" customHeight="1" hidden="1">
      <c r="A30" s="8"/>
      <c r="B30" s="196" t="s">
        <v>111</v>
      </c>
      <c r="C30" s="197"/>
      <c r="D30" s="198">
        <v>57533</v>
      </c>
      <c r="E30" s="198">
        <v>17430</v>
      </c>
      <c r="F30" s="163">
        <v>19304.53</v>
      </c>
      <c r="G30" s="198">
        <f>#N/A</f>
        <v>1874.5299999999988</v>
      </c>
      <c r="H30" s="199">
        <f>#N/A</f>
        <v>110.75461847389559</v>
      </c>
      <c r="I30" s="200">
        <f>#N/A</f>
        <v>-38228.47</v>
      </c>
      <c r="J30" s="200">
        <f>#N/A</f>
        <v>33.55383866650444</v>
      </c>
      <c r="K30" s="200">
        <v>15205.9</v>
      </c>
      <c r="L30" s="200">
        <f>#N/A</f>
        <v>4098.629999999999</v>
      </c>
      <c r="M30" s="228">
        <f>#N/A</f>
        <v>1.2695420856378117</v>
      </c>
      <c r="N30" s="237">
        <f>E30-березень!E30</f>
        <v>4600</v>
      </c>
      <c r="O30" s="237">
        <f>F30-березень!F30</f>
        <v>4869.089999999998</v>
      </c>
      <c r="P30" s="200">
        <f>#N/A</f>
        <v>269.0899999999983</v>
      </c>
      <c r="Q30" s="200">
        <f>O30/N30*100</f>
        <v>105.84978260869562</v>
      </c>
      <c r="R30" s="107"/>
      <c r="S30" s="100">
        <f>#N/A</f>
        <v>4869.089999999998</v>
      </c>
      <c r="T30" s="107"/>
      <c r="U30" s="108"/>
    </row>
    <row r="31" spans="1:21" s="6" customFormat="1" ht="18" customHeight="1" hidden="1">
      <c r="A31" s="8"/>
      <c r="B31" s="196" t="s">
        <v>112</v>
      </c>
      <c r="C31" s="197"/>
      <c r="D31" s="198">
        <v>125459</v>
      </c>
      <c r="E31" s="198">
        <v>40460</v>
      </c>
      <c r="F31" s="163">
        <v>38521.63</v>
      </c>
      <c r="G31" s="198">
        <f>#N/A</f>
        <v>-1938.3700000000026</v>
      </c>
      <c r="H31" s="199">
        <f>#N/A</f>
        <v>95.209169550173</v>
      </c>
      <c r="I31" s="200">
        <f>#N/A</f>
        <v>-86937.37</v>
      </c>
      <c r="J31" s="200">
        <f>#N/A</f>
        <v>30.704556867183697</v>
      </c>
      <c r="K31" s="200">
        <v>34030.56</v>
      </c>
      <c r="L31" s="200">
        <f>#N/A</f>
        <v>4491.07</v>
      </c>
      <c r="M31" s="228">
        <f>#N/A</f>
        <v>1.131971674871057</v>
      </c>
      <c r="N31" s="237">
        <f>E31-березень!E31</f>
        <v>10455</v>
      </c>
      <c r="O31" s="237">
        <f>F31-березень!F31</f>
        <v>9638.899999999998</v>
      </c>
      <c r="P31" s="200">
        <f>#N/A</f>
        <v>-816.1000000000022</v>
      </c>
      <c r="Q31" s="200">
        <f>O31/N31*100</f>
        <v>92.19416547106646</v>
      </c>
      <c r="R31" s="107"/>
      <c r="S31" s="100">
        <f>#N/A</f>
        <v>9638.899999999998</v>
      </c>
      <c r="T31" s="107"/>
      <c r="U31" s="108"/>
    </row>
    <row r="32" spans="1:21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>#N/A</f>
        <v>0.2</v>
      </c>
      <c r="H32" s="157"/>
      <c r="I32" s="158">
        <f>#N/A</f>
        <v>0.2</v>
      </c>
      <c r="J32" s="158"/>
      <c r="K32" s="167">
        <v>0</v>
      </c>
      <c r="L32" s="158">
        <f>#N/A</f>
        <v>0.2</v>
      </c>
      <c r="M32" s="210"/>
      <c r="N32" s="157">
        <f>E32-березень!E32</f>
        <v>0</v>
      </c>
      <c r="O32" s="160">
        <f>F32-березень!F32</f>
        <v>0</v>
      </c>
      <c r="P32" s="161">
        <f>#N/A</f>
        <v>0</v>
      </c>
      <c r="Q32" s="158"/>
      <c r="R32" s="107"/>
      <c r="S32" s="100">
        <f>#N/A</f>
        <v>0</v>
      </c>
      <c r="T32" s="107"/>
      <c r="U32" s="108"/>
    </row>
    <row r="33" spans="1:21" s="6" customFormat="1" ht="18">
      <c r="A33" s="8"/>
      <c r="B33" s="44" t="s">
        <v>82</v>
      </c>
      <c r="C33" s="114">
        <v>18030000</v>
      </c>
      <c r="D33" s="150">
        <v>115</v>
      </c>
      <c r="E33" s="150">
        <v>27</v>
      </c>
      <c r="F33" s="156">
        <v>52.41</v>
      </c>
      <c r="G33" s="150">
        <f>#N/A</f>
        <v>25.409999999999997</v>
      </c>
      <c r="H33" s="157">
        <f>#N/A</f>
        <v>194.11111111111111</v>
      </c>
      <c r="I33" s="158">
        <f>#N/A</f>
        <v>-62.59</v>
      </c>
      <c r="J33" s="158">
        <f>#N/A</f>
        <v>45.57391304347826</v>
      </c>
      <c r="K33" s="158">
        <v>32.71</v>
      </c>
      <c r="L33" s="158">
        <f>#N/A</f>
        <v>19.699999999999996</v>
      </c>
      <c r="M33" s="210">
        <f>F33/K33</f>
        <v>1.6022623051054723</v>
      </c>
      <c r="N33" s="157">
        <f>E33-березень!E33</f>
        <v>8</v>
      </c>
      <c r="O33" s="160">
        <f>F33-березень!F33</f>
        <v>15.209999999999994</v>
      </c>
      <c r="P33" s="161">
        <f>#N/A</f>
        <v>7.209999999999994</v>
      </c>
      <c r="Q33" s="158">
        <f>O33/N33*100</f>
        <v>190.12499999999991</v>
      </c>
      <c r="R33" s="107">
        <v>15</v>
      </c>
      <c r="S33" s="100">
        <f>#N/A</f>
        <v>0.20999999999999375</v>
      </c>
      <c r="T33" s="107"/>
      <c r="U33" s="108"/>
    </row>
    <row r="34" spans="1:21" s="6" customFormat="1" ht="30.75">
      <c r="A34" s="8"/>
      <c r="B34" s="225" t="s">
        <v>83</v>
      </c>
      <c r="C34" s="114">
        <v>18040000</v>
      </c>
      <c r="D34" s="150"/>
      <c r="E34" s="150"/>
      <c r="F34" s="156">
        <v>-27.35</v>
      </c>
      <c r="G34" s="150">
        <f>#N/A</f>
        <v>-27.35</v>
      </c>
      <c r="H34" s="157"/>
      <c r="I34" s="158">
        <f>#N/A</f>
        <v>-27.35</v>
      </c>
      <c r="J34" s="158"/>
      <c r="K34" s="158">
        <v>-107.01</v>
      </c>
      <c r="L34" s="158">
        <f>#N/A</f>
        <v>79.66</v>
      </c>
      <c r="M34" s="210">
        <f>F34/K34</f>
        <v>0.2555835903186618</v>
      </c>
      <c r="N34" s="157">
        <f>E34-березень!E34</f>
        <v>0</v>
      </c>
      <c r="O34" s="160">
        <f>F34-березень!F34</f>
        <v>-2.530000000000001</v>
      </c>
      <c r="P34" s="161">
        <f>#N/A</f>
        <v>-2.530000000000001</v>
      </c>
      <c r="Q34" s="158"/>
      <c r="R34" s="107"/>
      <c r="S34" s="100">
        <f>#N/A</f>
        <v>-2.530000000000001</v>
      </c>
      <c r="T34" s="107"/>
      <c r="U34" s="108"/>
    </row>
    <row r="35" spans="1:21" s="6" customFormat="1" ht="18">
      <c r="A35" s="8"/>
      <c r="B35" s="44" t="s">
        <v>84</v>
      </c>
      <c r="C35" s="114">
        <v>18050000</v>
      </c>
      <c r="D35" s="162">
        <v>194394.1</v>
      </c>
      <c r="E35" s="162">
        <v>71605.7</v>
      </c>
      <c r="F35" s="163">
        <v>73607.04</v>
      </c>
      <c r="G35" s="162">
        <f>#N/A</f>
        <v>2001.3399999999965</v>
      </c>
      <c r="H35" s="164">
        <f>#N/A</f>
        <v>102.79494509515304</v>
      </c>
      <c r="I35" s="165">
        <f>#N/A</f>
        <v>-120787.06000000001</v>
      </c>
      <c r="J35" s="165">
        <f>#N/A</f>
        <v>37.86485289419792</v>
      </c>
      <c r="K35" s="178">
        <v>51820.56</v>
      </c>
      <c r="L35" s="178">
        <f>F35-K35</f>
        <v>21786.479999999996</v>
      </c>
      <c r="M35" s="226">
        <f>F35/K35</f>
        <v>1.4204215469690022</v>
      </c>
      <c r="N35" s="157">
        <f>E35-березень!E35</f>
        <v>16827</v>
      </c>
      <c r="O35" s="160">
        <f>F35-березень!F35</f>
        <v>18210.41999999999</v>
      </c>
      <c r="P35" s="167">
        <f>#N/A</f>
        <v>1383.419999999991</v>
      </c>
      <c r="Q35" s="165">
        <f>O35/N35*100</f>
        <v>108.22142984489209</v>
      </c>
      <c r="R35" s="107">
        <v>16827</v>
      </c>
      <c r="S35" s="100">
        <f>#N/A</f>
        <v>1383.419999999991</v>
      </c>
      <c r="T35" s="107"/>
      <c r="U35" s="108"/>
    </row>
    <row r="36" spans="1:21" s="6" customFormat="1" ht="15" customHeight="1" hidden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</v>
      </c>
      <c r="G36" s="103">
        <f>#N/A</f>
        <v>0</v>
      </c>
      <c r="H36" s="105"/>
      <c r="I36" s="104">
        <f>#N/A</f>
        <v>0</v>
      </c>
      <c r="J36" s="104"/>
      <c r="K36" s="127">
        <v>0.18</v>
      </c>
      <c r="L36" s="127">
        <f>#N/A</f>
        <v>-0.18</v>
      </c>
      <c r="M36" s="216">
        <f>#N/A</f>
        <v>0</v>
      </c>
      <c r="N36" s="105">
        <f>E36-березень!E36</f>
        <v>0</v>
      </c>
      <c r="O36" s="144">
        <f>F36-березень!F36</f>
        <v>0</v>
      </c>
      <c r="P36" s="106">
        <f>#N/A</f>
        <v>0</v>
      </c>
      <c r="Q36" s="104"/>
      <c r="R36" s="107"/>
      <c r="S36" s="107"/>
      <c r="T36" s="107"/>
      <c r="U36" s="108"/>
    </row>
    <row r="37" spans="1:21" s="6" customFormat="1" ht="15" customHeight="1" hidden="1">
      <c r="A37" s="8"/>
      <c r="B37" s="50" t="s">
        <v>91</v>
      </c>
      <c r="C37" s="102">
        <v>18050300</v>
      </c>
      <c r="D37" s="103">
        <v>41000</v>
      </c>
      <c r="E37" s="103">
        <v>13220</v>
      </c>
      <c r="F37" s="140">
        <v>13998.42</v>
      </c>
      <c r="G37" s="103">
        <f>#N/A</f>
        <v>778.4200000000001</v>
      </c>
      <c r="H37" s="105">
        <f>#N/A</f>
        <v>105.88819969742813</v>
      </c>
      <c r="I37" s="104">
        <f>#N/A</f>
        <v>-27001.58</v>
      </c>
      <c r="J37" s="104">
        <f>#N/A</f>
        <v>34.142487804878044</v>
      </c>
      <c r="K37" s="127">
        <v>12484.76</v>
      </c>
      <c r="L37" s="127">
        <f>#N/A</f>
        <v>1513.6599999999999</v>
      </c>
      <c r="M37" s="216">
        <f>#N/A</f>
        <v>1.1212406165597095</v>
      </c>
      <c r="N37" s="105">
        <f>E37-березень!E37</f>
        <v>2820</v>
      </c>
      <c r="O37" s="144">
        <f>F37-березень!F37</f>
        <v>3050.5</v>
      </c>
      <c r="P37" s="106">
        <f>#N/A</f>
        <v>230.5</v>
      </c>
      <c r="Q37" s="104">
        <f>O37/N37*100</f>
        <v>108.17375886524823</v>
      </c>
      <c r="R37" s="107"/>
      <c r="S37" s="107"/>
      <c r="T37" s="107"/>
      <c r="U37" s="108"/>
    </row>
    <row r="38" spans="1:21" s="6" customFormat="1" ht="15" customHeight="1" hidden="1">
      <c r="A38" s="8"/>
      <c r="B38" s="50" t="s">
        <v>92</v>
      </c>
      <c r="C38" s="102">
        <v>18050400</v>
      </c>
      <c r="D38" s="103">
        <v>153339.1</v>
      </c>
      <c r="E38" s="103">
        <v>58360</v>
      </c>
      <c r="F38" s="140">
        <v>59585.52</v>
      </c>
      <c r="G38" s="103">
        <f>#N/A</f>
        <v>1225.5199999999968</v>
      </c>
      <c r="H38" s="105">
        <f>#N/A</f>
        <v>102.09993145990404</v>
      </c>
      <c r="I38" s="104">
        <f>#N/A</f>
        <v>-93753.58000000002</v>
      </c>
      <c r="J38" s="104">
        <f>#N/A</f>
        <v>38.85866031560117</v>
      </c>
      <c r="K38" s="127">
        <v>39321.61</v>
      </c>
      <c r="L38" s="127">
        <f>#N/A</f>
        <v>20263.909999999996</v>
      </c>
      <c r="M38" s="216">
        <f>#N/A</f>
        <v>1.5153377493953069</v>
      </c>
      <c r="N38" s="105">
        <f>E38-березень!E38</f>
        <v>14000</v>
      </c>
      <c r="O38" s="144">
        <f>F38-березень!F38</f>
        <v>15152.939999999995</v>
      </c>
      <c r="P38" s="106">
        <f>#N/A</f>
        <v>1152.939999999995</v>
      </c>
      <c r="Q38" s="104">
        <f>O38/N38*100</f>
        <v>108.2352857142857</v>
      </c>
      <c r="R38" s="107"/>
      <c r="S38" s="107"/>
      <c r="T38" s="107"/>
      <c r="U38" s="108"/>
    </row>
    <row r="39" spans="1:21" s="6" customFormat="1" ht="15" customHeight="1" hidden="1">
      <c r="A39" s="8"/>
      <c r="B39" s="50" t="s">
        <v>93</v>
      </c>
      <c r="C39" s="102">
        <v>18050500</v>
      </c>
      <c r="D39" s="103">
        <v>55</v>
      </c>
      <c r="E39" s="103">
        <v>25.7</v>
      </c>
      <c r="F39" s="140">
        <v>23.09</v>
      </c>
      <c r="G39" s="103">
        <f>#N/A</f>
        <v>-2.6099999999999994</v>
      </c>
      <c r="H39" s="105">
        <f>#N/A</f>
        <v>89.8443579766537</v>
      </c>
      <c r="I39" s="104">
        <f>#N/A</f>
        <v>-31.91</v>
      </c>
      <c r="J39" s="104">
        <f>#N/A</f>
        <v>41.981818181818184</v>
      </c>
      <c r="K39" s="127">
        <v>14.01</v>
      </c>
      <c r="L39" s="127">
        <f>#N/A</f>
        <v>9.08</v>
      </c>
      <c r="M39" s="216">
        <f>#N/A</f>
        <v>1.6481084939329051</v>
      </c>
      <c r="N39" s="105">
        <f>E39-березень!E39</f>
        <v>7</v>
      </c>
      <c r="O39" s="144">
        <f>F39-березень!F39</f>
        <v>6.98</v>
      </c>
      <c r="P39" s="106">
        <f>#N/A</f>
        <v>-0.019999999999999574</v>
      </c>
      <c r="Q39" s="104"/>
      <c r="R39" s="107"/>
      <c r="S39" s="107"/>
      <c r="T39" s="107"/>
      <c r="U39" s="108"/>
    </row>
    <row r="40" spans="1:21" s="6" customFormat="1" ht="15" customHeight="1" hidden="1">
      <c r="A40" s="8"/>
      <c r="B40" s="232" t="s">
        <v>46</v>
      </c>
      <c r="C40" s="43">
        <v>19010000</v>
      </c>
      <c r="D40" s="34">
        <v>0</v>
      </c>
      <c r="E40" s="34">
        <v>0</v>
      </c>
      <c r="F40" s="34">
        <v>0</v>
      </c>
      <c r="G40" s="34">
        <f>#N/A</f>
        <v>0</v>
      </c>
      <c r="H40" s="30"/>
      <c r="I40" s="37">
        <f>#N/A</f>
        <v>0</v>
      </c>
      <c r="J40" s="37"/>
      <c r="K40" s="119">
        <v>0</v>
      </c>
      <c r="L40" s="119">
        <f>#N/A</f>
        <v>0</v>
      </c>
      <c r="M40" s="217" t="e">
        <f>#N/A</f>
        <v>#DIV/0!</v>
      </c>
      <c r="N40" s="157">
        <f>E40-березень!E40</f>
        <v>0</v>
      </c>
      <c r="O40" s="160">
        <f>F40-березень!F40</f>
        <v>0</v>
      </c>
      <c r="P40" s="36">
        <f>#N/A</f>
        <v>0</v>
      </c>
      <c r="Q40" s="37"/>
      <c r="R40" s="107"/>
      <c r="S40" s="107"/>
      <c r="T40" s="107"/>
      <c r="U40" s="108"/>
    </row>
    <row r="41" spans="1:21" s="6" customFormat="1" ht="17.25">
      <c r="A41" s="7"/>
      <c r="B41" s="16" t="s">
        <v>12</v>
      </c>
      <c r="C41" s="70">
        <v>20000000</v>
      </c>
      <c r="D41" s="151">
        <f>D42+D43+D44+D45+D46+D48+D50+D51+D52+D53+D54+D59+D60+D64+D47</f>
        <v>59025</v>
      </c>
      <c r="E41" s="151">
        <f>E42+E43+E44+E45+E46+E48+E50+E51+E52+E53+E54+E59+E60+E64+E47</f>
        <v>19434.5</v>
      </c>
      <c r="F41" s="287">
        <f>F42+F43+F44+F45+F46+F48+F50+F51+F52+F53+F54+F59+F60+F64+F47</f>
        <v>19437.896000000004</v>
      </c>
      <c r="G41" s="151">
        <f>G42+G43+G44+G45+G46+G48+G50+G51+G52+G53+G54+G59+G60+G64</f>
        <v>36.386000000000756</v>
      </c>
      <c r="H41" s="152">
        <f>F41/E41*100</f>
        <v>100.01747407960073</v>
      </c>
      <c r="I41" s="153">
        <f>F41-D41</f>
        <v>-39587.10399999999</v>
      </c>
      <c r="J41" s="153">
        <f>F41/D41*100</f>
        <v>32.931632359169846</v>
      </c>
      <c r="K41" s="151">
        <v>16760.63</v>
      </c>
      <c r="L41" s="151">
        <f>#N/A</f>
        <v>2677.2660000000033</v>
      </c>
      <c r="M41" s="205">
        <f>#N/A</f>
        <v>1.1597354037407903</v>
      </c>
      <c r="N41" s="151">
        <f>N42+N43+N44+N45+N46+N48+N50+N51+N52+N53+N54+N59+N60+N64+N47</f>
        <v>5120.8</v>
      </c>
      <c r="O41" s="151">
        <f>O42+O43+O44+O45+O46+O48+O50+O51+O52+O53+O54+O59+O60+O64+O47</f>
        <v>5563.656</v>
      </c>
      <c r="P41" s="151">
        <f>P42+P43+P44+P45+P46+P48+P50+P51+P52+P53+P54+P59+P60+P64</f>
        <v>449.1560000000007</v>
      </c>
      <c r="Q41" s="151">
        <f>O41/N41*100</f>
        <v>108.64817997187939</v>
      </c>
      <c r="R41" s="15">
        <f>R42+R43+R44+R45+R46+R47+R48+R50+R51+R52+R53+R54+R59+R60+R64</f>
        <v>5581.6</v>
      </c>
      <c r="S41" s="15">
        <f>O41-R41</f>
        <v>-17.944000000000415</v>
      </c>
      <c r="T41" s="15"/>
      <c r="U41" s="15" t="e">
        <f>#N/A</f>
        <v>#N/A</v>
      </c>
    </row>
    <row r="42" spans="1:21" s="6" customFormat="1" ht="46.5">
      <c r="A42" s="8"/>
      <c r="B42" s="44" t="s">
        <v>98</v>
      </c>
      <c r="C42" s="43">
        <v>21010301</v>
      </c>
      <c r="D42" s="150">
        <v>580</v>
      </c>
      <c r="E42" s="150">
        <v>80</v>
      </c>
      <c r="F42" s="156">
        <v>-180.86</v>
      </c>
      <c r="G42" s="162">
        <f>F42-E42</f>
        <v>-260.86</v>
      </c>
      <c r="H42" s="164">
        <f>#N/A</f>
        <v>-226.07500000000002</v>
      </c>
      <c r="I42" s="165">
        <f>F42-D42</f>
        <v>-760.86</v>
      </c>
      <c r="J42" s="165">
        <f>F42/D42*100</f>
        <v>-31.18275862068966</v>
      </c>
      <c r="K42" s="165">
        <v>95.75</v>
      </c>
      <c r="L42" s="165">
        <f>#N/A</f>
        <v>-276.61</v>
      </c>
      <c r="M42" s="218">
        <f>#N/A</f>
        <v>-1.8888772845953004</v>
      </c>
      <c r="N42" s="164">
        <f>E42-березень!E42</f>
        <v>0</v>
      </c>
      <c r="O42" s="168">
        <f>F42-березень!F42</f>
        <v>5.9599999999999795</v>
      </c>
      <c r="P42" s="167">
        <f>O42-N42</f>
        <v>5.9599999999999795</v>
      </c>
      <c r="Q42" s="165" t="e">
        <f>#N/A</f>
        <v>#DIV/0!</v>
      </c>
      <c r="R42" s="37">
        <v>0</v>
      </c>
      <c r="S42" s="37">
        <f>O42-R42</f>
        <v>5.9599999999999795</v>
      </c>
      <c r="T42" s="37"/>
      <c r="U42" s="94"/>
    </row>
    <row r="43" spans="1:21" s="6" customFormat="1" ht="30.75">
      <c r="A43" s="8"/>
      <c r="B43" s="129" t="s">
        <v>77</v>
      </c>
      <c r="C43" s="42">
        <v>21050000</v>
      </c>
      <c r="D43" s="150">
        <v>30000</v>
      </c>
      <c r="E43" s="150">
        <v>8100</v>
      </c>
      <c r="F43" s="156">
        <v>7806.863</v>
      </c>
      <c r="G43" s="162">
        <f>#N/A</f>
        <v>-293.1369999999997</v>
      </c>
      <c r="H43" s="164">
        <f>#N/A</f>
        <v>96.38102469135804</v>
      </c>
      <c r="I43" s="165">
        <f>#N/A</f>
        <v>-22193.137</v>
      </c>
      <c r="J43" s="165">
        <f>F43/D43*100</f>
        <v>26.022876666666665</v>
      </c>
      <c r="K43" s="165">
        <v>6753.41</v>
      </c>
      <c r="L43" s="165">
        <f>#N/A</f>
        <v>1053.4530000000004</v>
      </c>
      <c r="M43" s="218"/>
      <c r="N43" s="164">
        <f>E43-березень!E43</f>
        <v>2800</v>
      </c>
      <c r="O43" s="168">
        <f>F43-березень!F43</f>
        <v>3105.023</v>
      </c>
      <c r="P43" s="167">
        <f>#N/A</f>
        <v>305.02300000000014</v>
      </c>
      <c r="Q43" s="165">
        <f>#N/A</f>
        <v>110.89367857142858</v>
      </c>
      <c r="R43" s="37">
        <v>3105</v>
      </c>
      <c r="S43" s="37">
        <f>#N/A</f>
        <v>0.023000000000138243</v>
      </c>
      <c r="T43" s="37"/>
      <c r="U43" s="94"/>
    </row>
    <row r="44" spans="1:21" s="6" customFormat="1" ht="18">
      <c r="A44" s="8"/>
      <c r="B44" s="129" t="s">
        <v>61</v>
      </c>
      <c r="C44" s="42">
        <v>21080500</v>
      </c>
      <c r="D44" s="150">
        <v>40</v>
      </c>
      <c r="E44" s="150">
        <v>20</v>
      </c>
      <c r="F44" s="156">
        <v>82.802</v>
      </c>
      <c r="G44" s="162">
        <f>#N/A</f>
        <v>62.80200000000001</v>
      </c>
      <c r="H44" s="164">
        <f>F44/E44*100</f>
        <v>414.01000000000005</v>
      </c>
      <c r="I44" s="165">
        <f>#N/A</f>
        <v>42.80200000000001</v>
      </c>
      <c r="J44" s="165">
        <f>#N/A</f>
        <v>207.00500000000002</v>
      </c>
      <c r="K44" s="165">
        <v>27.51</v>
      </c>
      <c r="L44" s="165">
        <f>#N/A</f>
        <v>55.292</v>
      </c>
      <c r="M44" s="218">
        <f>#N/A</f>
        <v>3.0098873137041076</v>
      </c>
      <c r="N44" s="164">
        <f>E44-березень!E44</f>
        <v>1</v>
      </c>
      <c r="O44" s="168">
        <f>F44-березень!F44</f>
        <v>10.722000000000008</v>
      </c>
      <c r="P44" s="167">
        <f>#N/A</f>
        <v>9.722000000000008</v>
      </c>
      <c r="Q44" s="165">
        <f>#N/A</f>
        <v>1072.2000000000007</v>
      </c>
      <c r="R44" s="37">
        <v>1</v>
      </c>
      <c r="S44" s="37">
        <f>#N/A</f>
        <v>9.722000000000008</v>
      </c>
      <c r="T44" s="37"/>
      <c r="U44" s="94"/>
    </row>
    <row r="45" spans="1:21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2.03</v>
      </c>
      <c r="G45" s="162">
        <f>#N/A</f>
        <v>2.03</v>
      </c>
      <c r="H45" s="164" t="e">
        <f>F45/E45*100</f>
        <v>#DIV/0!</v>
      </c>
      <c r="I45" s="165">
        <f>#N/A</f>
        <v>2.03</v>
      </c>
      <c r="J45" s="165" t="e">
        <f>#N/A</f>
        <v>#DIV/0!</v>
      </c>
      <c r="K45" s="165">
        <v>0.1</v>
      </c>
      <c r="L45" s="165">
        <f>#N/A</f>
        <v>1.9299999999999997</v>
      </c>
      <c r="M45" s="218">
        <f>#N/A</f>
        <v>20.299999999999997</v>
      </c>
      <c r="N45" s="164">
        <f>E45-березень!E45</f>
        <v>0</v>
      </c>
      <c r="O45" s="168">
        <f>F45-березень!F45</f>
        <v>0</v>
      </c>
      <c r="P45" s="167">
        <f>#N/A</f>
        <v>0</v>
      </c>
      <c r="Q45" s="165" t="e">
        <f>#N/A</f>
        <v>#DIV/0!</v>
      </c>
      <c r="R45" s="37">
        <v>0</v>
      </c>
      <c r="S45" s="37">
        <f>#N/A</f>
        <v>0</v>
      </c>
      <c r="T45" s="37"/>
      <c r="U45" s="94"/>
    </row>
    <row r="46" spans="1:21" s="6" customFormat="1" ht="18">
      <c r="A46" s="8"/>
      <c r="B46" s="130" t="s">
        <v>16</v>
      </c>
      <c r="C46" s="72">
        <v>21081100</v>
      </c>
      <c r="D46" s="150">
        <v>260</v>
      </c>
      <c r="E46" s="150">
        <v>84</v>
      </c>
      <c r="F46" s="156">
        <v>394.483</v>
      </c>
      <c r="G46" s="162">
        <f>#N/A</f>
        <v>310.483</v>
      </c>
      <c r="H46" s="164">
        <f>#N/A</f>
        <v>469.6226190476191</v>
      </c>
      <c r="I46" s="165">
        <f>#N/A</f>
        <v>134.483</v>
      </c>
      <c r="J46" s="165">
        <f>#N/A</f>
        <v>151.72423076923076</v>
      </c>
      <c r="K46" s="165">
        <v>34.2</v>
      </c>
      <c r="L46" s="165">
        <f>#N/A</f>
        <v>360.283</v>
      </c>
      <c r="M46" s="218">
        <f>#N/A</f>
        <v>11.534590643274854</v>
      </c>
      <c r="N46" s="164">
        <f>E46-березень!E46</f>
        <v>22</v>
      </c>
      <c r="O46" s="168">
        <f>F46-березень!F46</f>
        <v>116.72300000000001</v>
      </c>
      <c r="P46" s="167">
        <f>#N/A</f>
        <v>94.72300000000001</v>
      </c>
      <c r="Q46" s="165">
        <f>#N/A</f>
        <v>530.559090909091</v>
      </c>
      <c r="R46" s="37">
        <v>22</v>
      </c>
      <c r="S46" s="37">
        <f>#N/A</f>
        <v>94.72300000000001</v>
      </c>
      <c r="T46" s="37"/>
      <c r="U46" s="94"/>
    </row>
    <row r="47" spans="1:21" s="6" customFormat="1" ht="46.5">
      <c r="A47" s="8"/>
      <c r="B47" s="130" t="s">
        <v>80</v>
      </c>
      <c r="C47" s="72">
        <v>21081500</v>
      </c>
      <c r="D47" s="150">
        <v>97.5</v>
      </c>
      <c r="E47" s="150">
        <v>34</v>
      </c>
      <c r="F47" s="156">
        <v>1.01</v>
      </c>
      <c r="G47" s="162">
        <f>#N/A</f>
        <v>-32.99</v>
      </c>
      <c r="H47" s="164">
        <f>#N/A</f>
        <v>2.9705882352941178</v>
      </c>
      <c r="I47" s="165">
        <f>#N/A</f>
        <v>-96.49</v>
      </c>
      <c r="J47" s="165">
        <f>#N/A</f>
        <v>1.035897435897436</v>
      </c>
      <c r="K47" s="165">
        <v>6.8</v>
      </c>
      <c r="L47" s="165">
        <f>#N/A</f>
        <v>-5.79</v>
      </c>
      <c r="M47" s="218"/>
      <c r="N47" s="164">
        <f>E47-березень!E47</f>
        <v>6.800000000000001</v>
      </c>
      <c r="O47" s="168">
        <f>F47-березень!F47</f>
        <v>0.5</v>
      </c>
      <c r="P47" s="167">
        <f>#N/A</f>
        <v>-6.300000000000001</v>
      </c>
      <c r="Q47" s="165">
        <f>#N/A</f>
        <v>7.352941176470587</v>
      </c>
      <c r="R47" s="37">
        <v>0</v>
      </c>
      <c r="S47" s="37">
        <f>#N/A</f>
        <v>0.5</v>
      </c>
      <c r="T47" s="37"/>
      <c r="U47" s="94"/>
    </row>
    <row r="48" spans="1:21" s="6" customFormat="1" ht="30.75">
      <c r="A48" s="8"/>
      <c r="B48" s="148" t="s">
        <v>105</v>
      </c>
      <c r="C48" s="49">
        <v>22010300</v>
      </c>
      <c r="D48" s="150">
        <v>730</v>
      </c>
      <c r="E48" s="150">
        <v>340</v>
      </c>
      <c r="F48" s="156">
        <v>393.47</v>
      </c>
      <c r="G48" s="162">
        <f>#N/A</f>
        <v>53.47000000000003</v>
      </c>
      <c r="H48" s="164">
        <f>#N/A</f>
        <v>115.72647058823532</v>
      </c>
      <c r="I48" s="165">
        <f>#N/A</f>
        <v>-336.53</v>
      </c>
      <c r="J48" s="165">
        <f>#N/A</f>
        <v>53.900000000000006</v>
      </c>
      <c r="K48" s="165">
        <v>0</v>
      </c>
      <c r="L48" s="165">
        <f>#N/A</f>
        <v>393.47</v>
      </c>
      <c r="M48" s="218"/>
      <c r="N48" s="164">
        <f>E48-березень!E48</f>
        <v>60</v>
      </c>
      <c r="O48" s="168">
        <f>F48-березень!F48</f>
        <v>92.52000000000004</v>
      </c>
      <c r="P48" s="167">
        <f>#N/A</f>
        <v>32.52000000000004</v>
      </c>
      <c r="Q48" s="165">
        <f>#N/A</f>
        <v>154.20000000000007</v>
      </c>
      <c r="R48" s="37">
        <v>100</v>
      </c>
      <c r="S48" s="37">
        <f>#N/A</f>
        <v>-7.479999999999961</v>
      </c>
      <c r="T48" s="37"/>
      <c r="U48" s="94"/>
    </row>
    <row r="49" spans="1:21" s="6" customFormat="1" ht="18" hidden="1">
      <c r="A49" s="8"/>
      <c r="B49" s="130"/>
      <c r="C49" s="49"/>
      <c r="D49" s="150"/>
      <c r="E49" s="150"/>
      <c r="F49" s="156"/>
      <c r="G49" s="162"/>
      <c r="H49" s="164"/>
      <c r="I49" s="165"/>
      <c r="J49" s="165"/>
      <c r="K49" s="165"/>
      <c r="L49" s="165">
        <f>#N/A</f>
        <v>0</v>
      </c>
      <c r="M49" s="218" t="e">
        <f>#N/A</f>
        <v>#DIV/0!</v>
      </c>
      <c r="N49" s="164">
        <f>E49-березень!E49</f>
        <v>0</v>
      </c>
      <c r="O49" s="168">
        <f>F49-березень!F49</f>
        <v>0</v>
      </c>
      <c r="P49" s="167"/>
      <c r="Q49" s="165"/>
      <c r="R49" s="37"/>
      <c r="S49" s="37">
        <f>#N/A</f>
        <v>0</v>
      </c>
      <c r="T49" s="37"/>
      <c r="U49" s="94"/>
    </row>
    <row r="50" spans="1:21" s="6" customFormat="1" ht="18">
      <c r="A50" s="8"/>
      <c r="B50" s="33" t="s">
        <v>78</v>
      </c>
      <c r="C50" s="72">
        <v>22012500</v>
      </c>
      <c r="D50" s="150">
        <v>11000</v>
      </c>
      <c r="E50" s="150">
        <v>4240</v>
      </c>
      <c r="F50" s="156">
        <v>4681.51</v>
      </c>
      <c r="G50" s="162">
        <f>#N/A</f>
        <v>441.5100000000002</v>
      </c>
      <c r="H50" s="164">
        <f>#N/A</f>
        <v>110.41297169811321</v>
      </c>
      <c r="I50" s="165">
        <f>#N/A</f>
        <v>-6318.49</v>
      </c>
      <c r="J50" s="165">
        <f>#N/A</f>
        <v>42.55918181818182</v>
      </c>
      <c r="K50" s="165">
        <v>3201.41</v>
      </c>
      <c r="L50" s="165">
        <f>#N/A</f>
        <v>1480.1000000000004</v>
      </c>
      <c r="M50" s="218">
        <f>#N/A</f>
        <v>1.4623275369290407</v>
      </c>
      <c r="N50" s="164">
        <f>E50-березень!E50</f>
        <v>900</v>
      </c>
      <c r="O50" s="168">
        <f>F50-березень!F50</f>
        <v>1096.5700000000002</v>
      </c>
      <c r="P50" s="167">
        <f>#N/A</f>
        <v>196.57000000000016</v>
      </c>
      <c r="Q50" s="165">
        <f>#N/A</f>
        <v>121.84111111111113</v>
      </c>
      <c r="R50" s="37">
        <v>1200</v>
      </c>
      <c r="S50" s="37">
        <f>#N/A</f>
        <v>-103.42999999999984</v>
      </c>
      <c r="T50" s="37"/>
      <c r="U50" s="94"/>
    </row>
    <row r="51" spans="1:21" s="6" customFormat="1" ht="31.5">
      <c r="A51" s="8"/>
      <c r="B51" s="149" t="s">
        <v>99</v>
      </c>
      <c r="C51" s="72">
        <v>22012600</v>
      </c>
      <c r="D51" s="150">
        <v>310</v>
      </c>
      <c r="E51" s="150">
        <v>100</v>
      </c>
      <c r="F51" s="156">
        <v>175.37</v>
      </c>
      <c r="G51" s="162">
        <f>#N/A</f>
        <v>75.37</v>
      </c>
      <c r="H51" s="164">
        <f>#N/A</f>
        <v>175.37</v>
      </c>
      <c r="I51" s="165">
        <f>#N/A</f>
        <v>-134.63</v>
      </c>
      <c r="J51" s="165">
        <f>#N/A</f>
        <v>56.57096774193548</v>
      </c>
      <c r="K51" s="165">
        <v>1.37</v>
      </c>
      <c r="L51" s="165">
        <f>#N/A</f>
        <v>174</v>
      </c>
      <c r="M51" s="218"/>
      <c r="N51" s="164">
        <f>E51-березень!E51</f>
        <v>25</v>
      </c>
      <c r="O51" s="168">
        <f>F51-березень!F51</f>
        <v>40.170000000000016</v>
      </c>
      <c r="P51" s="167">
        <f>#N/A</f>
        <v>15.170000000000016</v>
      </c>
      <c r="Q51" s="165">
        <f>#N/A</f>
        <v>160.68000000000006</v>
      </c>
      <c r="R51" s="37">
        <v>45</v>
      </c>
      <c r="S51" s="37">
        <f>#N/A</f>
        <v>-4.829999999999984</v>
      </c>
      <c r="T51" s="37"/>
      <c r="U51" s="94"/>
    </row>
    <row r="52" spans="1:21" s="6" customFormat="1" ht="31.5">
      <c r="A52" s="8"/>
      <c r="B52" s="149" t="s">
        <v>106</v>
      </c>
      <c r="C52" s="72">
        <v>22012900</v>
      </c>
      <c r="D52" s="150">
        <v>20</v>
      </c>
      <c r="E52" s="150">
        <v>4</v>
      </c>
      <c r="F52" s="156">
        <v>11.36</v>
      </c>
      <c r="G52" s="162">
        <f>#N/A</f>
        <v>7.359999999999999</v>
      </c>
      <c r="H52" s="164">
        <f>#N/A</f>
        <v>284</v>
      </c>
      <c r="I52" s="165">
        <f>#N/A</f>
        <v>-8.64</v>
      </c>
      <c r="J52" s="165">
        <f>#N/A</f>
        <v>56.8</v>
      </c>
      <c r="K52" s="165">
        <v>0</v>
      </c>
      <c r="L52" s="165">
        <f>#N/A</f>
        <v>11.36</v>
      </c>
      <c r="M52" s="218"/>
      <c r="N52" s="164">
        <f>E52-березень!E52</f>
        <v>1</v>
      </c>
      <c r="O52" s="168">
        <f>F52-березень!F52</f>
        <v>7.359999999999999</v>
      </c>
      <c r="P52" s="167">
        <f>#N/A</f>
        <v>6.359999999999999</v>
      </c>
      <c r="Q52" s="165">
        <f>#N/A</f>
        <v>736</v>
      </c>
      <c r="R52" s="37">
        <v>1</v>
      </c>
      <c r="S52" s="37">
        <f>#N/A</f>
        <v>6.359999999999999</v>
      </c>
      <c r="T52" s="37"/>
      <c r="U52" s="94"/>
    </row>
    <row r="53" spans="1:21" s="6" customFormat="1" ht="30.75">
      <c r="A53" s="8"/>
      <c r="B53" s="130" t="s">
        <v>14</v>
      </c>
      <c r="C53" s="49">
        <v>22080400</v>
      </c>
      <c r="D53" s="150">
        <v>7275</v>
      </c>
      <c r="E53" s="150">
        <v>2430</v>
      </c>
      <c r="F53" s="156">
        <v>2187.702</v>
      </c>
      <c r="G53" s="162">
        <f>#N/A</f>
        <v>-242.29799999999977</v>
      </c>
      <c r="H53" s="164">
        <f>#N/A</f>
        <v>90.0288888888889</v>
      </c>
      <c r="I53" s="165">
        <f>#N/A</f>
        <v>-5087.298</v>
      </c>
      <c r="J53" s="165">
        <f>#N/A</f>
        <v>30.071505154639176</v>
      </c>
      <c r="K53" s="165">
        <v>2631.35</v>
      </c>
      <c r="L53" s="165">
        <f>#N/A</f>
        <v>-443.6479999999997</v>
      </c>
      <c r="M53" s="218">
        <f>#N/A</f>
        <v>0.8313990917209798</v>
      </c>
      <c r="N53" s="164">
        <f>E53-березень!E53</f>
        <v>610</v>
      </c>
      <c r="O53" s="168">
        <f>F53-березень!F53</f>
        <v>562.6120000000003</v>
      </c>
      <c r="P53" s="167">
        <f>#N/A</f>
        <v>-47.38799999999969</v>
      </c>
      <c r="Q53" s="165">
        <f>#N/A</f>
        <v>92.23147540983612</v>
      </c>
      <c r="R53" s="37">
        <v>562.6</v>
      </c>
      <c r="S53" s="37">
        <f>#N/A</f>
        <v>0.012000000000284672</v>
      </c>
      <c r="T53" s="37"/>
      <c r="U53" s="94"/>
    </row>
    <row r="54" spans="1:21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330</v>
      </c>
      <c r="F54" s="156">
        <v>289.262</v>
      </c>
      <c r="G54" s="162">
        <f>#N/A</f>
        <v>-40.738</v>
      </c>
      <c r="H54" s="164">
        <f>#N/A</f>
        <v>87.65515151515152</v>
      </c>
      <c r="I54" s="165">
        <f>#N/A</f>
        <v>-910.738</v>
      </c>
      <c r="J54" s="165">
        <f>#N/A</f>
        <v>24.105166666666666</v>
      </c>
      <c r="K54" s="165">
        <v>1998.74</v>
      </c>
      <c r="L54" s="165">
        <f>#N/A</f>
        <v>-1709.478</v>
      </c>
      <c r="M54" s="218">
        <f>#N/A</f>
        <v>0.14472217497023124</v>
      </c>
      <c r="N54" s="164">
        <f>E54-березень!E54</f>
        <v>95</v>
      </c>
      <c r="O54" s="168">
        <f>F54-березень!F54</f>
        <v>43.262</v>
      </c>
      <c r="P54" s="167">
        <f>#N/A</f>
        <v>-51.738</v>
      </c>
      <c r="Q54" s="165">
        <f>#N/A</f>
        <v>45.53894736842105</v>
      </c>
      <c r="R54" s="37">
        <v>95</v>
      </c>
      <c r="S54" s="37">
        <f>#N/A</f>
        <v>-51.738</v>
      </c>
      <c r="T54" s="37"/>
      <c r="U54" s="94"/>
    </row>
    <row r="55" spans="1:21" s="6" customFormat="1" ht="15" hidden="1">
      <c r="A55" s="8"/>
      <c r="B55" s="50" t="s">
        <v>97</v>
      </c>
      <c r="C55" s="123">
        <v>22090100</v>
      </c>
      <c r="D55" s="103">
        <v>998</v>
      </c>
      <c r="E55" s="103">
        <v>270</v>
      </c>
      <c r="F55" s="140">
        <v>255.38</v>
      </c>
      <c r="G55" s="34">
        <f>#N/A</f>
        <v>-14.620000000000005</v>
      </c>
      <c r="H55" s="30">
        <f>#N/A</f>
        <v>94.58518518518518</v>
      </c>
      <c r="I55" s="104">
        <f>#N/A</f>
        <v>-742.62</v>
      </c>
      <c r="J55" s="104">
        <f>#N/A</f>
        <v>25.589178356713425</v>
      </c>
      <c r="K55" s="104">
        <v>235.42</v>
      </c>
      <c r="L55" s="104">
        <f>F55-K55</f>
        <v>19.960000000000008</v>
      </c>
      <c r="M55" s="109">
        <f>#N/A</f>
        <v>1.0847846402174837</v>
      </c>
      <c r="N55" s="105">
        <f>E55-березень!E55</f>
        <v>80</v>
      </c>
      <c r="O55" s="144">
        <f>F55-березень!F55</f>
        <v>34.44</v>
      </c>
      <c r="P55" s="106">
        <f>#N/A</f>
        <v>-45.56</v>
      </c>
      <c r="Q55" s="119">
        <f>#N/A</f>
        <v>43.05</v>
      </c>
      <c r="R55" s="37"/>
      <c r="S55" s="37">
        <f>#N/A</f>
        <v>34.44</v>
      </c>
      <c r="T55" s="37"/>
      <c r="U55" s="94"/>
    </row>
    <row r="56" spans="1:21" s="6" customFormat="1" ht="15" hidden="1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0.12</v>
      </c>
      <c r="G56" s="34">
        <f>#N/A</f>
        <v>0.12</v>
      </c>
      <c r="H56" s="30" t="e">
        <f>#N/A</f>
        <v>#DIV/0!</v>
      </c>
      <c r="I56" s="104">
        <f>#N/A</f>
        <v>-0.88</v>
      </c>
      <c r="J56" s="104">
        <f>#N/A</f>
        <v>12</v>
      </c>
      <c r="K56" s="104">
        <v>0.15</v>
      </c>
      <c r="L56" s="104">
        <f>F56-K56</f>
        <v>-0.03</v>
      </c>
      <c r="M56" s="109">
        <f>#N/A</f>
        <v>0.8</v>
      </c>
      <c r="N56" s="105">
        <f>E56-березень!E56</f>
        <v>0</v>
      </c>
      <c r="O56" s="144">
        <f>F56-березень!F56</f>
        <v>0.01999999999999999</v>
      </c>
      <c r="P56" s="106">
        <f>#N/A</f>
        <v>0.01999999999999999</v>
      </c>
      <c r="Q56" s="119" t="e">
        <f>#N/A</f>
        <v>#DIV/0!</v>
      </c>
      <c r="R56" s="37"/>
      <c r="S56" s="37">
        <f>#N/A</f>
        <v>0.01999999999999999</v>
      </c>
      <c r="T56" s="37"/>
      <c r="U56" s="94"/>
    </row>
    <row r="57" spans="1:21" s="6" customFormat="1" ht="15" hidden="1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34">
        <f>#N/A</f>
        <v>0</v>
      </c>
      <c r="H57" s="30"/>
      <c r="I57" s="104">
        <f>#N/A</f>
        <v>-1</v>
      </c>
      <c r="J57" s="104">
        <f>#N/A</f>
        <v>0</v>
      </c>
      <c r="K57" s="104">
        <v>0</v>
      </c>
      <c r="L57" s="104">
        <f>F57-K57</f>
        <v>0</v>
      </c>
      <c r="M57" s="109" t="e">
        <f>#N/A</f>
        <v>#DIV/0!</v>
      </c>
      <c r="N57" s="105">
        <f>E57-березень!E57</f>
        <v>0</v>
      </c>
      <c r="O57" s="144">
        <f>F57-березень!F57</f>
        <v>0</v>
      </c>
      <c r="P57" s="106">
        <f>#N/A</f>
        <v>0</v>
      </c>
      <c r="Q57" s="119"/>
      <c r="R57" s="37"/>
      <c r="S57" s="37">
        <f>#N/A</f>
        <v>0</v>
      </c>
      <c r="T57" s="37"/>
      <c r="U57" s="94"/>
    </row>
    <row r="58" spans="1:21" s="6" customFormat="1" ht="15" hidden="1">
      <c r="A58" s="8"/>
      <c r="B58" s="50" t="s">
        <v>96</v>
      </c>
      <c r="C58" s="123">
        <v>22090400</v>
      </c>
      <c r="D58" s="103">
        <v>200</v>
      </c>
      <c r="E58" s="103">
        <v>60</v>
      </c>
      <c r="F58" s="140">
        <v>33.77</v>
      </c>
      <c r="G58" s="34">
        <f>#N/A</f>
        <v>-26.229999999999997</v>
      </c>
      <c r="H58" s="30">
        <f>#N/A</f>
        <v>56.28333333333334</v>
      </c>
      <c r="I58" s="104">
        <f>#N/A</f>
        <v>-166.23</v>
      </c>
      <c r="J58" s="104">
        <f>#N/A</f>
        <v>16.885</v>
      </c>
      <c r="K58" s="104">
        <v>1763.16</v>
      </c>
      <c r="L58" s="104">
        <f>F58-K58</f>
        <v>-1729.39</v>
      </c>
      <c r="M58" s="109">
        <f>#N/A</f>
        <v>0.019153111458971393</v>
      </c>
      <c r="N58" s="105">
        <f>E58-березень!E58</f>
        <v>15</v>
      </c>
      <c r="O58" s="144">
        <f>F58-березень!F58</f>
        <v>8.810000000000002</v>
      </c>
      <c r="P58" s="106">
        <f>#N/A</f>
        <v>-6.189999999999998</v>
      </c>
      <c r="Q58" s="119">
        <f>#N/A</f>
        <v>58.73333333333335</v>
      </c>
      <c r="R58" s="37"/>
      <c r="S58" s="37">
        <f>#N/A</f>
        <v>8.810000000000002</v>
      </c>
      <c r="T58" s="37"/>
      <c r="U58" s="94"/>
    </row>
    <row r="59" spans="1:21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62">
        <f>#N/A</f>
        <v>-0.45999999999999996</v>
      </c>
      <c r="H59" s="164"/>
      <c r="I59" s="165">
        <f>#N/A</f>
        <v>-0.45999999999999996</v>
      </c>
      <c r="J59" s="165">
        <f>#N/A</f>
        <v>81.60000000000001</v>
      </c>
      <c r="K59" s="165">
        <v>2.46</v>
      </c>
      <c r="L59" s="165">
        <f>F59-K59</f>
        <v>-0.41999999999999993</v>
      </c>
      <c r="M59" s="218">
        <f>#N/A</f>
        <v>0.8292682926829269</v>
      </c>
      <c r="N59" s="164">
        <f>E59-березень!E59</f>
        <v>0</v>
      </c>
      <c r="O59" s="168">
        <f>F59-березень!F59</f>
        <v>0</v>
      </c>
      <c r="P59" s="167">
        <f>#N/A</f>
        <v>0</v>
      </c>
      <c r="Q59" s="165"/>
      <c r="R59" s="37">
        <v>0</v>
      </c>
      <c r="S59" s="37">
        <f>#N/A</f>
        <v>0</v>
      </c>
      <c r="T59" s="37"/>
      <c r="U59" s="94"/>
    </row>
    <row r="60" spans="1:21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v>3660</v>
      </c>
      <c r="F60" s="156">
        <v>3536.212</v>
      </c>
      <c r="G60" s="162">
        <f>#N/A</f>
        <v>-123.78800000000001</v>
      </c>
      <c r="H60" s="164">
        <f>#N/A</f>
        <v>96.61781420765027</v>
      </c>
      <c r="I60" s="165">
        <f>#N/A</f>
        <v>-3813.788</v>
      </c>
      <c r="J60" s="165">
        <f>#N/A</f>
        <v>48.11172789115646</v>
      </c>
      <c r="K60" s="165">
        <v>1974.46</v>
      </c>
      <c r="L60" s="165">
        <f>#N/A</f>
        <v>1561.752</v>
      </c>
      <c r="M60" s="218">
        <f>#N/A</f>
        <v>1.7909767733962703</v>
      </c>
      <c r="N60" s="164">
        <f>E60-березень!E60</f>
        <v>600</v>
      </c>
      <c r="O60" s="168">
        <f>F60-березень!F60</f>
        <v>460.48199999999997</v>
      </c>
      <c r="P60" s="167">
        <f>#N/A</f>
        <v>-139.51800000000003</v>
      </c>
      <c r="Q60" s="165">
        <f>#N/A</f>
        <v>76.747</v>
      </c>
      <c r="R60" s="37">
        <v>450</v>
      </c>
      <c r="S60" s="37">
        <f>#N/A</f>
        <v>10.481999999999971</v>
      </c>
      <c r="T60" s="37"/>
      <c r="U60" s="94"/>
    </row>
    <row r="61" spans="1:21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62">
        <f>#N/A</f>
        <v>0</v>
      </c>
      <c r="H61" s="164" t="e">
        <f>#N/A</f>
        <v>#DIV/0!</v>
      </c>
      <c r="I61" s="165">
        <f>#N/A</f>
        <v>0</v>
      </c>
      <c r="J61" s="165" t="e">
        <f>#N/A</f>
        <v>#DIV/0!</v>
      </c>
      <c r="K61" s="165"/>
      <c r="L61" s="165">
        <f>#N/A</f>
        <v>0</v>
      </c>
      <c r="M61" s="218" t="e">
        <f>#N/A</f>
        <v>#DIV/0!</v>
      </c>
      <c r="N61" s="164">
        <f>E61-березень!E61</f>
        <v>0</v>
      </c>
      <c r="O61" s="168">
        <f>F61-лютий!F58</f>
        <v>0</v>
      </c>
      <c r="P61" s="167">
        <f>#N/A</f>
        <v>0</v>
      </c>
      <c r="Q61" s="165" t="e">
        <f>#N/A</f>
        <v>#DIV/0!</v>
      </c>
      <c r="R61" s="37"/>
      <c r="S61" s="37">
        <f>#N/A</f>
        <v>0</v>
      </c>
      <c r="T61" s="37"/>
      <c r="U61" s="94"/>
    </row>
    <row r="62" spans="1:21" s="6" customFormat="1" ht="30.75">
      <c r="A62" s="8"/>
      <c r="B62" s="50" t="s">
        <v>42</v>
      </c>
      <c r="C62" s="61"/>
      <c r="D62" s="103"/>
      <c r="E62" s="103"/>
      <c r="F62" s="201">
        <v>639.62</v>
      </c>
      <c r="G62" s="162"/>
      <c r="H62" s="164"/>
      <c r="I62" s="165"/>
      <c r="J62" s="165"/>
      <c r="K62" s="166">
        <v>387.1</v>
      </c>
      <c r="L62" s="165">
        <f>#N/A</f>
        <v>252.59000000000003</v>
      </c>
      <c r="M62" s="218">
        <f>#N/A</f>
        <v>1.6525187290105916</v>
      </c>
      <c r="N62" s="195"/>
      <c r="O62" s="179">
        <f>F62-березень!F62</f>
        <v>211.89</v>
      </c>
      <c r="P62" s="166"/>
      <c r="Q62" s="165"/>
      <c r="R62" s="37"/>
      <c r="S62" s="37">
        <f>#N/A</f>
        <v>211.96000000000004</v>
      </c>
      <c r="T62" s="37"/>
      <c r="U62" s="94"/>
    </row>
    <row r="63" spans="1:21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62">
        <f>#N/A</f>
        <v>0</v>
      </c>
      <c r="H63" s="164"/>
      <c r="I63" s="165">
        <f>#N/A</f>
        <v>0</v>
      </c>
      <c r="J63" s="165"/>
      <c r="K63" s="166"/>
      <c r="L63" s="165">
        <f>#N/A</f>
        <v>0</v>
      </c>
      <c r="M63" s="218" t="e">
        <f>#N/A</f>
        <v>#DIV/0!</v>
      </c>
      <c r="N63" s="164">
        <f>E63-лютий!E60</f>
        <v>0</v>
      </c>
      <c r="O63" s="168">
        <f>F63-лютий!F60</f>
        <v>0</v>
      </c>
      <c r="P63" s="167">
        <f>#N/A</f>
        <v>0</v>
      </c>
      <c r="Q63" s="165"/>
      <c r="R63" s="37"/>
      <c r="S63" s="37">
        <f>#N/A</f>
        <v>0</v>
      </c>
      <c r="T63" s="37"/>
      <c r="U63" s="94"/>
    </row>
    <row r="64" spans="1:21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10</v>
      </c>
      <c r="F64" s="156">
        <v>54.642</v>
      </c>
      <c r="G64" s="162">
        <f>#N/A</f>
        <v>44.642</v>
      </c>
      <c r="H64" s="164">
        <f>#N/A</f>
        <v>546.42</v>
      </c>
      <c r="I64" s="165">
        <f>#N/A</f>
        <v>-105.358</v>
      </c>
      <c r="J64" s="165">
        <f>#N/A</f>
        <v>34.15125</v>
      </c>
      <c r="K64" s="165">
        <v>33.09</v>
      </c>
      <c r="L64" s="165">
        <f>#N/A</f>
        <v>21.552</v>
      </c>
      <c r="M64" s="218">
        <f>#N/A</f>
        <v>1.6513145965548504</v>
      </c>
      <c r="N64" s="164">
        <f>E64-березень!E64</f>
        <v>0</v>
      </c>
      <c r="O64" s="168">
        <f>F64-березень!F64</f>
        <v>21.752000000000002</v>
      </c>
      <c r="P64" s="167">
        <f>#N/A</f>
        <v>21.752000000000002</v>
      </c>
      <c r="Q64" s="165"/>
      <c r="R64" s="37">
        <v>0</v>
      </c>
      <c r="S64" s="37">
        <f>#N/A</f>
        <v>21.752000000000002</v>
      </c>
      <c r="T64" s="37"/>
      <c r="U64" s="94"/>
    </row>
    <row r="65" spans="1:21" s="6" customFormat="1" ht="18">
      <c r="A65" s="8"/>
      <c r="B65" s="12" t="s">
        <v>44</v>
      </c>
      <c r="C65" s="43">
        <v>31010200</v>
      </c>
      <c r="D65" s="150">
        <v>15</v>
      </c>
      <c r="E65" s="150">
        <v>5.1</v>
      </c>
      <c r="F65" s="156">
        <v>16.852</v>
      </c>
      <c r="G65" s="162">
        <f>#N/A</f>
        <v>11.752</v>
      </c>
      <c r="H65" s="164">
        <f>#N/A</f>
        <v>330.43137254901967</v>
      </c>
      <c r="I65" s="165">
        <f>#N/A</f>
        <v>1.8520000000000003</v>
      </c>
      <c r="J65" s="165">
        <f>#N/A</f>
        <v>112.34666666666666</v>
      </c>
      <c r="K65" s="165">
        <v>13.52</v>
      </c>
      <c r="L65" s="165">
        <f>#N/A</f>
        <v>3.3320000000000007</v>
      </c>
      <c r="M65" s="218">
        <f>#N/A</f>
        <v>1.246449704142012</v>
      </c>
      <c r="N65" s="164">
        <f>E65-березень!E65</f>
        <v>1.3999999999999995</v>
      </c>
      <c r="O65" s="168">
        <f>F65-березень!F65</f>
        <v>2.5820000000000007</v>
      </c>
      <c r="P65" s="167">
        <f>#N/A</f>
        <v>1.1820000000000013</v>
      </c>
      <c r="Q65" s="165">
        <f>#N/A</f>
        <v>184.42857142857153</v>
      </c>
      <c r="R65" s="37">
        <v>3.2</v>
      </c>
      <c r="S65" s="37">
        <f>#N/A</f>
        <v>-0.6179999999999994</v>
      </c>
      <c r="T65" s="37"/>
      <c r="U65" s="94"/>
    </row>
    <row r="66" spans="1:21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-5.25</v>
      </c>
      <c r="G66" s="162">
        <f>#N/A</f>
        <v>-5.25</v>
      </c>
      <c r="H66" s="164"/>
      <c r="I66" s="165">
        <f>#N/A</f>
        <v>-5.25</v>
      </c>
      <c r="J66" s="165"/>
      <c r="K66" s="165">
        <v>0.37</v>
      </c>
      <c r="L66" s="165">
        <f>#N/A</f>
        <v>-5.62</v>
      </c>
      <c r="M66" s="218">
        <f>#N/A</f>
        <v>-14.18918918918919</v>
      </c>
      <c r="N66" s="164">
        <f>E66-березень!E66</f>
        <v>0</v>
      </c>
      <c r="O66" s="168">
        <f>F66-березень!F66</f>
        <v>0.08000000000000007</v>
      </c>
      <c r="P66" s="167">
        <f>#N/A</f>
        <v>0.08000000000000007</v>
      </c>
      <c r="Q66" s="165"/>
      <c r="R66" s="37">
        <v>0</v>
      </c>
      <c r="S66" s="37">
        <f>#N/A</f>
        <v>0.08000000000000007</v>
      </c>
      <c r="T66" s="37"/>
      <c r="U66" s="94"/>
    </row>
    <row r="67" spans="1:21" s="6" customFormat="1" ht="18">
      <c r="A67" s="9"/>
      <c r="B67" s="14" t="s">
        <v>184</v>
      </c>
      <c r="C67" s="62"/>
      <c r="D67" s="151">
        <f>D8+D41+D65+D66</f>
        <v>1357491.1</v>
      </c>
      <c r="E67" s="151">
        <f>E8+E41+E65+E66</f>
        <v>417417.1</v>
      </c>
      <c r="F67" s="287">
        <f>F8+F41+F65+F66</f>
        <v>419761.754</v>
      </c>
      <c r="G67" s="151">
        <f>F67-E67</f>
        <v>2344.6540000000386</v>
      </c>
      <c r="H67" s="152">
        <f>F67/E67*100</f>
        <v>100.5617053062752</v>
      </c>
      <c r="I67" s="153">
        <f>F67-D67</f>
        <v>-937729.3460000001</v>
      </c>
      <c r="J67" s="153">
        <f>F67/D67*100</f>
        <v>30.921878898506222</v>
      </c>
      <c r="K67" s="153">
        <v>310905.14</v>
      </c>
      <c r="L67" s="153">
        <f>F67-K67</f>
        <v>108856.614</v>
      </c>
      <c r="M67" s="219">
        <f>F67/K67</f>
        <v>1.350128061568876</v>
      </c>
      <c r="N67" s="151">
        <f>N8+N41+N65+N66</f>
        <v>110560.2</v>
      </c>
      <c r="O67" s="151">
        <f>O8+O41+O65+O66</f>
        <v>112332.75400000002</v>
      </c>
      <c r="P67" s="155">
        <f>O67-N67</f>
        <v>1772.5540000000183</v>
      </c>
      <c r="Q67" s="153">
        <f>O67/N67*100</f>
        <v>101.60324782335779</v>
      </c>
      <c r="R67" s="27">
        <f>R8+R41+R65+R66</f>
        <v>110624.8</v>
      </c>
      <c r="S67" s="280">
        <f>O67-R67</f>
        <v>1707.9540000000125</v>
      </c>
      <c r="T67" s="280"/>
      <c r="U67" s="115">
        <f>O67/34768</f>
        <v>3.230923665439485</v>
      </c>
    </row>
    <row r="68" spans="1:21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47"/>
      <c r="O68" s="46"/>
      <c r="P68" s="79"/>
      <c r="Q68" s="35"/>
      <c r="R68" s="35"/>
      <c r="S68" s="35"/>
      <c r="T68" s="35"/>
      <c r="U68" s="96"/>
    </row>
    <row r="69" spans="1:21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0"/>
      <c r="O69" s="46"/>
      <c r="P69" s="59"/>
      <c r="Q69" s="35"/>
      <c r="R69" s="35"/>
      <c r="S69" s="35"/>
      <c r="T69" s="35"/>
      <c r="U69" s="96"/>
    </row>
    <row r="70" spans="1:21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0"/>
      <c r="O70" s="57"/>
      <c r="P70" s="79"/>
      <c r="Q70" s="35"/>
      <c r="R70" s="35"/>
      <c r="S70" s="35"/>
      <c r="T70" s="35"/>
      <c r="U70" s="96"/>
    </row>
    <row r="71" spans="2:21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1"/>
      <c r="O71" s="146"/>
      <c r="P71" s="36"/>
      <c r="Q71" s="38"/>
      <c r="R71" s="38"/>
      <c r="S71" s="38"/>
      <c r="T71" s="38"/>
      <c r="U71" s="97"/>
    </row>
    <row r="72" spans="2:21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>
        <v>0.01</v>
      </c>
      <c r="L72" s="167">
        <f>F72-K72</f>
        <v>0</v>
      </c>
      <c r="M72" s="209">
        <f>F72/K72</f>
        <v>1</v>
      </c>
      <c r="N72" s="162">
        <f>E72-березень!E72</f>
        <v>0</v>
      </c>
      <c r="O72" s="182">
        <f>F72-березень!F72</f>
        <v>0</v>
      </c>
      <c r="P72" s="167"/>
      <c r="Q72" s="167"/>
      <c r="R72" s="38"/>
      <c r="S72" s="38"/>
      <c r="T72" s="38"/>
      <c r="U72" s="97"/>
    </row>
    <row r="73" spans="2:21" ht="31.5" hidden="1">
      <c r="B73" s="236" t="s">
        <v>62</v>
      </c>
      <c r="C73" s="73">
        <v>18041500</v>
      </c>
      <c r="D73" s="180">
        <v>0</v>
      </c>
      <c r="E73" s="180"/>
      <c r="F73" s="181">
        <v>0</v>
      </c>
      <c r="G73" s="162">
        <f>F73-E73</f>
        <v>0</v>
      </c>
      <c r="H73" s="164"/>
      <c r="I73" s="167">
        <f>F73-D73</f>
        <v>0</v>
      </c>
      <c r="J73" s="167"/>
      <c r="K73" s="167">
        <v>-55.72</v>
      </c>
      <c r="L73" s="167">
        <f>F73-K73</f>
        <v>55.72</v>
      </c>
      <c r="M73" s="209">
        <f>F73/K73</f>
        <v>0</v>
      </c>
      <c r="N73" s="162">
        <f>E73-березень!E73</f>
        <v>0</v>
      </c>
      <c r="O73" s="182">
        <f>F73-березень!F73</f>
        <v>0</v>
      </c>
      <c r="P73" s="167">
        <f>O73-N73</f>
        <v>0</v>
      </c>
      <c r="Q73" s="167"/>
      <c r="R73" s="38"/>
      <c r="S73" s="38"/>
      <c r="T73" s="38"/>
      <c r="U73" s="97"/>
    </row>
    <row r="74" spans="2:21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0.01</v>
      </c>
      <c r="G74" s="185">
        <f>F74-E74</f>
        <v>0.01</v>
      </c>
      <c r="H74" s="186"/>
      <c r="I74" s="187">
        <f>F74-D74</f>
        <v>0.01</v>
      </c>
      <c r="J74" s="187"/>
      <c r="K74" s="187">
        <v>-0.27</v>
      </c>
      <c r="L74" s="187">
        <f>F74-K74</f>
        <v>0.28</v>
      </c>
      <c r="M74" s="214">
        <f>F74/K74</f>
        <v>-0.037037037037037035</v>
      </c>
      <c r="N74" s="185">
        <f>SUM(N72:N73)</f>
        <v>0</v>
      </c>
      <c r="O74" s="188">
        <f>SUM(O72:O73)</f>
        <v>0</v>
      </c>
      <c r="P74" s="187">
        <f>O74-N74</f>
        <v>0</v>
      </c>
      <c r="Q74" s="187"/>
      <c r="R74" s="39"/>
      <c r="S74" s="39"/>
      <c r="T74" s="39"/>
      <c r="U74" s="98"/>
    </row>
    <row r="75" spans="2:21" ht="4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>#N/A</f>
        <v>35.57</v>
      </c>
      <c r="H75" s="186"/>
      <c r="I75" s="187">
        <f>#N/A</f>
        <v>35.57</v>
      </c>
      <c r="J75" s="187"/>
      <c r="K75" s="187">
        <v>0</v>
      </c>
      <c r="L75" s="187">
        <f>#N/A</f>
        <v>35.57</v>
      </c>
      <c r="M75" s="187"/>
      <c r="N75" s="186">
        <f>E75-березень!E75</f>
        <v>0</v>
      </c>
      <c r="O75" s="289">
        <f>F75-березень!F75</f>
        <v>0</v>
      </c>
      <c r="P75" s="187">
        <f>#N/A</f>
        <v>0</v>
      </c>
      <c r="Q75" s="187"/>
      <c r="R75" s="38"/>
      <c r="S75" s="38"/>
      <c r="T75" s="38"/>
      <c r="U75" s="97"/>
    </row>
    <row r="76" spans="2:21" ht="31.5">
      <c r="B76" s="23" t="s">
        <v>29</v>
      </c>
      <c r="C76" s="73">
        <v>31030000</v>
      </c>
      <c r="D76" s="180">
        <f>4000+100206.03</f>
        <v>104206.03</v>
      </c>
      <c r="E76" s="180">
        <v>0</v>
      </c>
      <c r="F76" s="181">
        <v>0.12</v>
      </c>
      <c r="G76" s="162">
        <f>#N/A</f>
        <v>0.12</v>
      </c>
      <c r="H76" s="164"/>
      <c r="I76" s="167">
        <f>#N/A</f>
        <v>-104205.91</v>
      </c>
      <c r="J76" s="167">
        <f>F76/D76*100</f>
        <v>0.00011515648374666994</v>
      </c>
      <c r="K76" s="167">
        <v>300.88</v>
      </c>
      <c r="L76" s="167">
        <f>#N/A</f>
        <v>-300.76</v>
      </c>
      <c r="M76" s="209">
        <f>F76/K76</f>
        <v>0.0003988300983780909</v>
      </c>
      <c r="N76" s="164">
        <f>E76-березень!E76</f>
        <v>0</v>
      </c>
      <c r="O76" s="168">
        <f>F76-березень!F76</f>
        <v>0.009999999999999995</v>
      </c>
      <c r="P76" s="167">
        <f>#N/A</f>
        <v>0.009999999999999995</v>
      </c>
      <c r="Q76" s="167"/>
      <c r="R76" s="38"/>
      <c r="S76" s="38"/>
      <c r="T76" s="38"/>
      <c r="U76" s="97"/>
    </row>
    <row r="77" spans="2:21" ht="18">
      <c r="B77" s="23" t="s">
        <v>30</v>
      </c>
      <c r="C77" s="73">
        <v>33010000</v>
      </c>
      <c r="D77" s="180">
        <f>8000+46000</f>
        <v>54000</v>
      </c>
      <c r="E77" s="180">
        <v>8430</v>
      </c>
      <c r="F77" s="181">
        <v>302.92</v>
      </c>
      <c r="G77" s="162">
        <f>#N/A</f>
        <v>-8127.08</v>
      </c>
      <c r="H77" s="164">
        <f>F77/E77*100</f>
        <v>3.5933570581257417</v>
      </c>
      <c r="I77" s="167">
        <f>#N/A</f>
        <v>-53697.08</v>
      </c>
      <c r="J77" s="167">
        <f>F77/D77*100</f>
        <v>0.560962962962963</v>
      </c>
      <c r="K77" s="167">
        <v>472.26</v>
      </c>
      <c r="L77" s="167">
        <f>#N/A</f>
        <v>-169.33999999999997</v>
      </c>
      <c r="M77" s="209">
        <f>F77/K77</f>
        <v>0.6414263329521874</v>
      </c>
      <c r="N77" s="164">
        <f>E77-березень!E77</f>
        <v>3600</v>
      </c>
      <c r="O77" s="168">
        <f>F77-березень!F77</f>
        <v>135.72000000000003</v>
      </c>
      <c r="P77" s="167">
        <f>#N/A</f>
        <v>-3464.2799999999997</v>
      </c>
      <c r="Q77" s="167">
        <f>O77/N77*100</f>
        <v>3.7700000000000005</v>
      </c>
      <c r="R77" s="38"/>
      <c r="S77" s="38"/>
      <c r="T77" s="38"/>
      <c r="U77" s="97"/>
    </row>
    <row r="78" spans="2:21" ht="31.5">
      <c r="B78" s="23" t="s">
        <v>54</v>
      </c>
      <c r="C78" s="73">
        <v>24170000</v>
      </c>
      <c r="D78" s="180">
        <f>10000+69000</f>
        <v>79000</v>
      </c>
      <c r="E78" s="180">
        <v>8500</v>
      </c>
      <c r="F78" s="181">
        <v>1821.45</v>
      </c>
      <c r="G78" s="162">
        <f>#N/A</f>
        <v>-6678.55</v>
      </c>
      <c r="H78" s="164">
        <f>F78/E78*100</f>
        <v>21.428823529411765</v>
      </c>
      <c r="I78" s="167">
        <f>#N/A</f>
        <v>-77178.55</v>
      </c>
      <c r="J78" s="167">
        <f>F78/D78*100</f>
        <v>2.3056329113924052</v>
      </c>
      <c r="K78" s="167">
        <v>8810.08</v>
      </c>
      <c r="L78" s="167">
        <f>#N/A</f>
        <v>-6988.63</v>
      </c>
      <c r="M78" s="209">
        <f>F78/K78</f>
        <v>0.20674613624393876</v>
      </c>
      <c r="N78" s="164">
        <f>E78-березень!E78</f>
        <v>3850</v>
      </c>
      <c r="O78" s="168">
        <f>F78-березень!F78</f>
        <v>607.21</v>
      </c>
      <c r="P78" s="167">
        <f>#N/A</f>
        <v>-3242.79</v>
      </c>
      <c r="Q78" s="167">
        <f>O78/N78*100</f>
        <v>15.771688311688312</v>
      </c>
      <c r="R78" s="38"/>
      <c r="S78" s="38"/>
      <c r="T78" s="38"/>
      <c r="U78" s="97"/>
    </row>
    <row r="79" spans="2:21" ht="18">
      <c r="B79" s="23" t="s">
        <v>101</v>
      </c>
      <c r="C79" s="73">
        <v>24110700</v>
      </c>
      <c r="D79" s="180">
        <v>12</v>
      </c>
      <c r="E79" s="180">
        <v>4</v>
      </c>
      <c r="F79" s="181">
        <v>5</v>
      </c>
      <c r="G79" s="162">
        <f>#N/A</f>
        <v>1</v>
      </c>
      <c r="H79" s="164">
        <f>F79/E79*100</f>
        <v>125</v>
      </c>
      <c r="I79" s="167">
        <f>#N/A</f>
        <v>-7</v>
      </c>
      <c r="J79" s="167">
        <f>F79/D79*100</f>
        <v>41.66666666666667</v>
      </c>
      <c r="K79" s="167">
        <v>4</v>
      </c>
      <c r="L79" s="167">
        <f>#N/A</f>
        <v>1</v>
      </c>
      <c r="M79" s="209"/>
      <c r="N79" s="164">
        <f>E79-березень!E79</f>
        <v>1</v>
      </c>
      <c r="O79" s="168">
        <f>F79-березень!F79</f>
        <v>2</v>
      </c>
      <c r="P79" s="167">
        <f>#N/A</f>
        <v>1</v>
      </c>
      <c r="Q79" s="167">
        <f>O79/N79*100</f>
        <v>200</v>
      </c>
      <c r="R79" s="38"/>
      <c r="S79" s="281"/>
      <c r="T79" s="281"/>
      <c r="U79" s="136"/>
    </row>
    <row r="80" spans="2:21" ht="33">
      <c r="B80" s="28" t="s">
        <v>51</v>
      </c>
      <c r="C80" s="65"/>
      <c r="D80" s="183">
        <f>D76+D77+D78+D79</f>
        <v>237218.03</v>
      </c>
      <c r="E80" s="183">
        <f>E76+E77+E78+E79</f>
        <v>16934</v>
      </c>
      <c r="F80" s="184">
        <f>F76+F77+F78+F79</f>
        <v>2129.4900000000002</v>
      </c>
      <c r="G80" s="185">
        <f>#N/A</f>
        <v>-14804.51</v>
      </c>
      <c r="H80" s="186">
        <f>F80/E80*100</f>
        <v>12.57523325853313</v>
      </c>
      <c r="I80" s="187">
        <f>#N/A</f>
        <v>-235088.54</v>
      </c>
      <c r="J80" s="187">
        <f>F80/D80*100</f>
        <v>0.8976931475233988</v>
      </c>
      <c r="K80" s="187">
        <v>9587.22</v>
      </c>
      <c r="L80" s="187">
        <f>#N/A</f>
        <v>-7457.73</v>
      </c>
      <c r="M80" s="214">
        <f>F80/K80</f>
        <v>0.2221175690137496</v>
      </c>
      <c r="N80" s="185">
        <f>N76+N77+N78+N79</f>
        <v>7451</v>
      </c>
      <c r="O80" s="189">
        <f>O76+O77+O78+O79</f>
        <v>744.94</v>
      </c>
      <c r="P80" s="187">
        <f>#N/A</f>
        <v>-6706.0599999999995</v>
      </c>
      <c r="Q80" s="187">
        <f>O80/N80*100</f>
        <v>9.997852637229903</v>
      </c>
      <c r="R80" s="39"/>
      <c r="S80" s="282"/>
      <c r="T80" s="282"/>
      <c r="U80" s="116"/>
    </row>
    <row r="81" spans="2:21" ht="46.5">
      <c r="B81" s="12" t="s">
        <v>40</v>
      </c>
      <c r="C81" s="75">
        <v>24062100</v>
      </c>
      <c r="D81" s="180">
        <v>40</v>
      </c>
      <c r="E81" s="180">
        <v>2.5</v>
      </c>
      <c r="F81" s="181">
        <v>9.25</v>
      </c>
      <c r="G81" s="162">
        <f>#N/A</f>
        <v>6.75</v>
      </c>
      <c r="H81" s="164"/>
      <c r="I81" s="167">
        <f>#N/A</f>
        <v>-30.75</v>
      </c>
      <c r="J81" s="167"/>
      <c r="K81" s="167">
        <v>3.06</v>
      </c>
      <c r="L81" s="167">
        <f>#N/A</f>
        <v>6.1899999999999995</v>
      </c>
      <c r="M81" s="209">
        <f>F81/K81</f>
        <v>3.022875816993464</v>
      </c>
      <c r="N81" s="164">
        <f>E81-березень!E81</f>
        <v>2</v>
      </c>
      <c r="O81" s="168">
        <f>F81-березень!F81</f>
        <v>0.47000000000000064</v>
      </c>
      <c r="P81" s="167">
        <f>#N/A</f>
        <v>-1.5299999999999994</v>
      </c>
      <c r="Q81" s="167"/>
      <c r="R81" s="38"/>
      <c r="S81" s="38"/>
      <c r="T81" s="38"/>
      <c r="U81" s="97"/>
    </row>
    <row r="82" spans="2:21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>#N/A</f>
        <v>0</v>
      </c>
      <c r="H82" s="164"/>
      <c r="I82" s="167">
        <f>#N/A</f>
        <v>0</v>
      </c>
      <c r="J82" s="190"/>
      <c r="K82" s="167">
        <v>0</v>
      </c>
      <c r="L82" s="167">
        <f>#N/A</f>
        <v>0</v>
      </c>
      <c r="M82" s="209" t="e">
        <f>F82/K82</f>
        <v>#DIV/0!</v>
      </c>
      <c r="N82" s="164">
        <f>E82-березень!E82</f>
        <v>0</v>
      </c>
      <c r="O82" s="168">
        <f>F82-березень!F82</f>
        <v>0</v>
      </c>
      <c r="P82" s="167">
        <f>#N/A</f>
        <v>0</v>
      </c>
      <c r="Q82" s="190"/>
      <c r="R82" s="41"/>
      <c r="S82" s="41"/>
      <c r="T82" s="41"/>
      <c r="U82" s="99"/>
    </row>
    <row r="83" spans="2:21" ht="18">
      <c r="B83" s="23" t="s">
        <v>46</v>
      </c>
      <c r="C83" s="73">
        <v>19010000</v>
      </c>
      <c r="D83" s="180">
        <v>8360</v>
      </c>
      <c r="E83" s="180">
        <v>2365.2</v>
      </c>
      <c r="F83" s="181">
        <v>2231.54</v>
      </c>
      <c r="G83" s="162">
        <f>#N/A</f>
        <v>-133.65999999999985</v>
      </c>
      <c r="H83" s="164">
        <f>F83/E83*100</f>
        <v>94.3488922712667</v>
      </c>
      <c r="I83" s="167">
        <f>#N/A</f>
        <v>-6128.46</v>
      </c>
      <c r="J83" s="167">
        <f>F83/D83*100</f>
        <v>26.693062200956934</v>
      </c>
      <c r="K83" s="167">
        <v>2035.53</v>
      </c>
      <c r="L83" s="167">
        <f>#N/A</f>
        <v>196.01</v>
      </c>
      <c r="M83" s="209"/>
      <c r="N83" s="164">
        <f>E83-березень!E83</f>
        <v>8.899999999999636</v>
      </c>
      <c r="O83" s="168">
        <f>F83-березень!F83</f>
        <v>13.590000000000146</v>
      </c>
      <c r="P83" s="167">
        <f>O83-N83</f>
        <v>4.690000000000509</v>
      </c>
      <c r="Q83" s="190">
        <f>O83/N83*100</f>
        <v>152.69662921349104</v>
      </c>
      <c r="R83" s="41"/>
      <c r="S83" s="41"/>
      <c r="T83" s="41"/>
      <c r="U83" s="99"/>
    </row>
    <row r="84" spans="2:21" ht="31.5">
      <c r="B84" s="23" t="s">
        <v>50</v>
      </c>
      <c r="C84" s="73">
        <v>19050000</v>
      </c>
      <c r="D84" s="180">
        <v>0</v>
      </c>
      <c r="E84" s="180"/>
      <c r="F84" s="181">
        <v>0.03</v>
      </c>
      <c r="G84" s="162">
        <f>#N/A</f>
        <v>0.03</v>
      </c>
      <c r="H84" s="164"/>
      <c r="I84" s="167">
        <f>#N/A</f>
        <v>0.03</v>
      </c>
      <c r="J84" s="167"/>
      <c r="K84" s="167">
        <v>0.52</v>
      </c>
      <c r="L84" s="167">
        <f>#N/A</f>
        <v>-0.49</v>
      </c>
      <c r="M84" s="209">
        <f>#N/A</f>
        <v>0.05769230769230769</v>
      </c>
      <c r="N84" s="164">
        <f>E84-березень!E84</f>
        <v>0</v>
      </c>
      <c r="O84" s="168">
        <f>F84-березень!F84</f>
        <v>0</v>
      </c>
      <c r="P84" s="167">
        <f>#N/A</f>
        <v>0</v>
      </c>
      <c r="Q84" s="167"/>
      <c r="R84" s="38"/>
      <c r="S84" s="38"/>
      <c r="T84" s="38"/>
      <c r="U84" s="97"/>
    </row>
    <row r="85" spans="2:21" ht="30">
      <c r="B85" s="28" t="s">
        <v>47</v>
      </c>
      <c r="C85" s="73"/>
      <c r="D85" s="183">
        <f>D81+D84+D82+D83</f>
        <v>8400</v>
      </c>
      <c r="E85" s="183">
        <f>E81+E84+E82+E83</f>
        <v>2367.7</v>
      </c>
      <c r="F85" s="184">
        <f>F81+F84+F82+F83</f>
        <v>2240.82</v>
      </c>
      <c r="G85" s="183">
        <f>G81+G84+G82+G83</f>
        <v>-126.87999999999985</v>
      </c>
      <c r="H85" s="186">
        <f>F85/E85*100</f>
        <v>94.64121299151076</v>
      </c>
      <c r="I85" s="187">
        <f>#N/A</f>
        <v>-6159.18</v>
      </c>
      <c r="J85" s="187">
        <f>F85/D85*100</f>
        <v>26.676428571428573</v>
      </c>
      <c r="K85" s="187">
        <v>2039.11</v>
      </c>
      <c r="L85" s="187">
        <f>#N/A</f>
        <v>201.71000000000026</v>
      </c>
      <c r="M85" s="220">
        <f>#N/A</f>
        <v>1.0989206075199476</v>
      </c>
      <c r="N85" s="185">
        <f>N81+N84+N82+N83</f>
        <v>10.899999999999636</v>
      </c>
      <c r="O85" s="189">
        <f>O81+O84+O82+O83</f>
        <v>14.060000000000146</v>
      </c>
      <c r="P85" s="185">
        <f>P81+P84+P82+P83</f>
        <v>3.16000000000051</v>
      </c>
      <c r="Q85" s="187">
        <f>O85/N85*100</f>
        <v>128.99082568807904</v>
      </c>
      <c r="R85" s="39"/>
      <c r="S85" s="39"/>
      <c r="T85" s="39"/>
      <c r="U85" s="96"/>
    </row>
    <row r="86" spans="2:21" ht="30.75">
      <c r="B86" s="12" t="s">
        <v>41</v>
      </c>
      <c r="C86" s="43">
        <v>24110900</v>
      </c>
      <c r="D86" s="180">
        <v>38</v>
      </c>
      <c r="E86" s="180">
        <v>14.1</v>
      </c>
      <c r="F86" s="181">
        <v>7.6</v>
      </c>
      <c r="G86" s="162">
        <f>#N/A</f>
        <v>-6.5</v>
      </c>
      <c r="H86" s="164">
        <f>F86/E86*100</f>
        <v>53.90070921985816</v>
      </c>
      <c r="I86" s="167">
        <f>#N/A</f>
        <v>-30.4</v>
      </c>
      <c r="J86" s="167">
        <f>F86/D86*100</f>
        <v>20</v>
      </c>
      <c r="K86" s="167">
        <v>9.19</v>
      </c>
      <c r="L86" s="167">
        <f>#N/A</f>
        <v>-1.5899999999999999</v>
      </c>
      <c r="M86" s="209">
        <f>#N/A</f>
        <v>0.8269858541893362</v>
      </c>
      <c r="N86" s="164">
        <f>E86-березень!E86</f>
        <v>1.1999999999999993</v>
      </c>
      <c r="O86" s="168">
        <f>F86-березень!F86</f>
        <v>0.47999999999999954</v>
      </c>
      <c r="P86" s="167">
        <f>#N/A</f>
        <v>-0.7199999999999998</v>
      </c>
      <c r="Q86" s="167">
        <f>O86/N86</f>
        <v>0.39999999999999986</v>
      </c>
      <c r="R86" s="38"/>
      <c r="S86" s="38"/>
      <c r="T86" s="38"/>
      <c r="U86" s="97"/>
    </row>
    <row r="87" spans="2:21" ht="18" hidden="1">
      <c r="B87" s="122"/>
      <c r="C87" s="43">
        <v>0</v>
      </c>
      <c r="D87" s="180">
        <v>0</v>
      </c>
      <c r="E87" s="180">
        <v>0</v>
      </c>
      <c r="F87" s="181"/>
      <c r="G87" s="162">
        <f>#N/A</f>
        <v>0</v>
      </c>
      <c r="H87" s="164"/>
      <c r="I87" s="167">
        <f>#N/A</f>
        <v>0</v>
      </c>
      <c r="J87" s="167"/>
      <c r="K87" s="167"/>
      <c r="L87" s="167"/>
      <c r="M87" s="167"/>
      <c r="N87" s="164">
        <f>E87-березень!E87</f>
        <v>0</v>
      </c>
      <c r="O87" s="168">
        <f>F87-березень!F87</f>
        <v>0</v>
      </c>
      <c r="P87" s="167">
        <f>#N/A</f>
        <v>0</v>
      </c>
      <c r="Q87" s="167"/>
      <c r="R87" s="38"/>
      <c r="S87" s="38"/>
      <c r="T87" s="38"/>
      <c r="U87" s="97"/>
    </row>
    <row r="88" spans="2:21" ht="23.25" customHeight="1">
      <c r="B88" s="14" t="s">
        <v>31</v>
      </c>
      <c r="C88" s="66"/>
      <c r="D88" s="191">
        <f>D74+D75+D80+D85+D86</f>
        <v>245656.03</v>
      </c>
      <c r="E88" s="191">
        <f>E74+E75+E80+E85+E86</f>
        <v>19315.8</v>
      </c>
      <c r="F88" s="191">
        <f>F74+F75+F80+F85+F86</f>
        <v>4413.490000000001</v>
      </c>
      <c r="G88" s="192">
        <f>F88-E88</f>
        <v>-14902.309999999998</v>
      </c>
      <c r="H88" s="193">
        <f>F88/E88*100</f>
        <v>22.849118338355133</v>
      </c>
      <c r="I88" s="194">
        <f>F88-D88</f>
        <v>-241242.54</v>
      </c>
      <c r="J88" s="194">
        <f>F88/D88*100</f>
        <v>1.7966137448366324</v>
      </c>
      <c r="K88" s="194">
        <v>11639.75</v>
      </c>
      <c r="L88" s="194">
        <f>F88-K88</f>
        <v>-7226.259999999999</v>
      </c>
      <c r="M88" s="221">
        <f>#N/A</f>
        <v>0.37917395133056986</v>
      </c>
      <c r="N88" s="191">
        <f>N74+N75+N80+N85+N86</f>
        <v>7463.099999999999</v>
      </c>
      <c r="O88" s="191">
        <f>O74+O75+O80+O85+O86</f>
        <v>759.4800000000002</v>
      </c>
      <c r="P88" s="194">
        <f>#N/A</f>
        <v>-6703.619999999999</v>
      </c>
      <c r="Q88" s="194">
        <f>O88/N88*100</f>
        <v>10.176468223660413</v>
      </c>
      <c r="R88" s="27">
        <f>O88-8104.96</f>
        <v>-7345.48</v>
      </c>
      <c r="S88" s="27"/>
      <c r="T88" s="27"/>
      <c r="U88" s="95">
        <f>O88/8104.96</f>
        <v>0.09370558275426409</v>
      </c>
    </row>
    <row r="89" spans="2:21" ht="17.25">
      <c r="B89" s="21" t="s">
        <v>182</v>
      </c>
      <c r="C89" s="66"/>
      <c r="D89" s="191">
        <f>D67+D88</f>
        <v>1603147.1300000001</v>
      </c>
      <c r="E89" s="191">
        <f>E67+E88</f>
        <v>436732.89999999997</v>
      </c>
      <c r="F89" s="191">
        <f>F67+F88</f>
        <v>424175.244</v>
      </c>
      <c r="G89" s="192">
        <f>F89-E89</f>
        <v>-12557.655999999959</v>
      </c>
      <c r="H89" s="193">
        <f>F89/E89*100</f>
        <v>97.12463704932695</v>
      </c>
      <c r="I89" s="194">
        <f>F89-D89</f>
        <v>-1178971.8860000002</v>
      </c>
      <c r="J89" s="194">
        <f>F89/D89*100</f>
        <v>26.45890923311574</v>
      </c>
      <c r="K89" s="194">
        <f>K67+K88</f>
        <v>322544.89</v>
      </c>
      <c r="L89" s="194">
        <f>F89-K89</f>
        <v>101630.35399999999</v>
      </c>
      <c r="M89" s="221">
        <f>#N/A</f>
        <v>1.3150890221823077</v>
      </c>
      <c r="N89" s="192">
        <f>N67+N88</f>
        <v>118023.3</v>
      </c>
      <c r="O89" s="192">
        <f>O67+O88</f>
        <v>113092.23400000001</v>
      </c>
      <c r="P89" s="194">
        <f>#N/A</f>
        <v>-4931.065999999992</v>
      </c>
      <c r="Q89" s="194">
        <f>O89/N89*100</f>
        <v>95.8219554952285</v>
      </c>
      <c r="R89" s="27">
        <f>O89-42872.96</f>
        <v>70219.274</v>
      </c>
      <c r="S89" s="27"/>
      <c r="T89" s="27"/>
      <c r="U89" s="95">
        <f>O89/42872.96</f>
        <v>2.637845252578782</v>
      </c>
    </row>
    <row r="90" spans="2:15" ht="15">
      <c r="B90" s="20" t="s">
        <v>34</v>
      </c>
      <c r="O90" s="25"/>
    </row>
    <row r="91" spans="2:15" ht="15">
      <c r="B91" s="4" t="s">
        <v>36</v>
      </c>
      <c r="C91" s="76">
        <v>0</v>
      </c>
      <c r="D91" s="4" t="s">
        <v>35</v>
      </c>
      <c r="O91" s="78"/>
    </row>
    <row r="92" spans="2:20" ht="30.75">
      <c r="B92" s="52" t="s">
        <v>53</v>
      </c>
      <c r="C92" s="29">
        <f>IF(P67&lt;0,ABS(P67/C91),0)</f>
        <v>0</v>
      </c>
      <c r="D92" s="4" t="s">
        <v>24</v>
      </c>
      <c r="G92" s="424"/>
      <c r="H92" s="424"/>
      <c r="I92" s="424"/>
      <c r="J92" s="424"/>
      <c r="K92" s="84"/>
      <c r="L92" s="84"/>
      <c r="M92" s="84"/>
      <c r="Q92" s="25"/>
      <c r="R92" s="25"/>
      <c r="S92" s="25"/>
      <c r="T92" s="25"/>
    </row>
    <row r="93" spans="2:16" ht="34.5" customHeight="1">
      <c r="B93" s="53" t="s">
        <v>55</v>
      </c>
      <c r="C93" s="81">
        <v>42853</v>
      </c>
      <c r="D93" s="29">
        <v>13596.8</v>
      </c>
      <c r="G93" s="4" t="s">
        <v>58</v>
      </c>
      <c r="O93" s="430"/>
      <c r="P93" s="430"/>
    </row>
    <row r="94" spans="3:16" ht="15">
      <c r="C94" s="81">
        <v>42852</v>
      </c>
      <c r="D94" s="29">
        <v>13266.8</v>
      </c>
      <c r="F94" s="113" t="s">
        <v>58</v>
      </c>
      <c r="G94" s="427"/>
      <c r="H94" s="427"/>
      <c r="I94" s="118"/>
      <c r="J94" s="436"/>
      <c r="K94" s="436"/>
      <c r="L94" s="436"/>
      <c r="M94" s="436"/>
      <c r="N94" s="436"/>
      <c r="O94" s="430"/>
      <c r="P94" s="430"/>
    </row>
    <row r="95" spans="3:16" ht="15.75" customHeight="1">
      <c r="C95" s="81">
        <v>42851</v>
      </c>
      <c r="D95" s="29">
        <v>6064.2</v>
      </c>
      <c r="F95" s="68"/>
      <c r="G95" s="427"/>
      <c r="H95" s="427"/>
      <c r="I95" s="118"/>
      <c r="J95" s="437"/>
      <c r="K95" s="437"/>
      <c r="L95" s="437"/>
      <c r="M95" s="437"/>
      <c r="N95" s="437"/>
      <c r="O95" s="430"/>
      <c r="P95" s="430"/>
    </row>
    <row r="96" spans="3:14" ht="15.75" customHeight="1">
      <c r="C96" s="81"/>
      <c r="F96" s="68"/>
      <c r="G96" s="421"/>
      <c r="H96" s="421"/>
      <c r="I96" s="124"/>
      <c r="J96" s="436"/>
      <c r="K96" s="436"/>
      <c r="L96" s="436"/>
      <c r="M96" s="436"/>
      <c r="N96" s="436"/>
    </row>
    <row r="97" spans="2:14" ht="18" customHeight="1">
      <c r="B97" s="425" t="s">
        <v>56</v>
      </c>
      <c r="C97" s="426"/>
      <c r="D97" s="133">
        <v>102.57358</v>
      </c>
      <c r="E97" s="69"/>
      <c r="F97" s="125" t="s">
        <v>107</v>
      </c>
      <c r="G97" s="427"/>
      <c r="H97" s="427"/>
      <c r="I97" s="126"/>
      <c r="J97" s="436"/>
      <c r="K97" s="436"/>
      <c r="L97" s="436"/>
      <c r="M97" s="436"/>
      <c r="N97" s="436"/>
    </row>
    <row r="98" spans="6:13" ht="9.75" customHeight="1" hidden="1">
      <c r="F98" s="68"/>
      <c r="G98" s="427"/>
      <c r="H98" s="427"/>
      <c r="I98" s="68"/>
      <c r="J98" s="69"/>
      <c r="K98" s="69"/>
      <c r="L98" s="69"/>
      <c r="M98" s="69"/>
    </row>
    <row r="99" spans="2:13" ht="22.5" customHeight="1" hidden="1">
      <c r="B99" s="428" t="s">
        <v>59</v>
      </c>
      <c r="C99" s="429"/>
      <c r="D99" s="80">
        <v>0</v>
      </c>
      <c r="E99" s="51" t="s">
        <v>24</v>
      </c>
      <c r="F99" s="68"/>
      <c r="G99" s="427"/>
      <c r="H99" s="427"/>
      <c r="I99" s="68"/>
      <c r="J99" s="69"/>
      <c r="K99" s="69"/>
      <c r="L99" s="69"/>
      <c r="M99" s="69"/>
    </row>
    <row r="100" spans="2:16" ht="15" hidden="1">
      <c r="B100" s="285" t="s">
        <v>195</v>
      </c>
      <c r="D100" s="68">
        <f>D48+D51+D52</f>
        <v>1060</v>
      </c>
      <c r="E100" s="68">
        <f>E48+E51+E52</f>
        <v>444</v>
      </c>
      <c r="F100" s="203">
        <f>F48+F51+F52</f>
        <v>580.2</v>
      </c>
      <c r="G100" s="68">
        <f>G48+G51+G52</f>
        <v>136.20000000000005</v>
      </c>
      <c r="H100" s="69"/>
      <c r="I100" s="69"/>
      <c r="N100" s="29">
        <f>N48+N51+N52</f>
        <v>86</v>
      </c>
      <c r="O100" s="202">
        <f>O48+O51+O52</f>
        <v>140.05000000000007</v>
      </c>
      <c r="P100" s="29">
        <f>P48+P51+P52</f>
        <v>54.050000000000054</v>
      </c>
    </row>
    <row r="101" spans="4:16" ht="15" hidden="1">
      <c r="D101" s="78"/>
      <c r="I101" s="29"/>
      <c r="O101" s="420"/>
      <c r="P101" s="420"/>
    </row>
    <row r="102" spans="2:17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398065.1</v>
      </c>
      <c r="F102" s="229">
        <f>F9+F15+F18+F19+F23+F42+F45+F65+F59</f>
        <v>400152.318</v>
      </c>
      <c r="G102" s="29">
        <f>F102-E102</f>
        <v>2087.2180000000517</v>
      </c>
      <c r="H102" s="230">
        <f>F102/E102</f>
        <v>1.0052434086786308</v>
      </c>
      <c r="I102" s="29">
        <f>F102-D102</f>
        <v>-898896.2820000001</v>
      </c>
      <c r="J102" s="230">
        <f>F102/D102</f>
        <v>0.3080349095484187</v>
      </c>
      <c r="N102" s="29">
        <f>N9+N15+N17+N18+N19+N23+N42+N45+N65+N59</f>
        <v>105439.4</v>
      </c>
      <c r="O102" s="229">
        <f>O9+O15+O17+O18+O19+O23+O42+O45+O65+O59</f>
        <v>106774.97800000002</v>
      </c>
      <c r="P102" s="29">
        <f>O102-N102</f>
        <v>1335.5780000000232</v>
      </c>
      <c r="Q102" s="230">
        <f>O102/N102</f>
        <v>1.0126667830052145</v>
      </c>
    </row>
    <row r="103" spans="2:17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19352</v>
      </c>
      <c r="F103" s="229">
        <f>F43+F44+F46+F48+F50+F51+F52+F53+F54+F60+F64+F47+F66</f>
        <v>19609.436</v>
      </c>
      <c r="G103" s="29">
        <f>G43+G44+G46+G48+G50+G51+G52+G53+G54+G60+G64+G47</f>
        <v>262.68600000000083</v>
      </c>
      <c r="H103" s="230">
        <f>F103/E103</f>
        <v>1.0133028110789584</v>
      </c>
      <c r="I103" s="29">
        <f>I43+I44+I46+I48+I50+I51+I52+I53+I54+I60+I64+I47</f>
        <v>-38827.81399999999</v>
      </c>
      <c r="J103" s="230">
        <f>F103/D103</f>
        <v>0.3355338323993669</v>
      </c>
      <c r="K103" s="29">
        <f>#N/A</f>
        <v>16662.34</v>
      </c>
      <c r="L103" s="29">
        <f>#N/A</f>
        <v>2952.3460000000014</v>
      </c>
      <c r="M103" s="29">
        <f>#N/A</f>
        <v>20.42521813055033</v>
      </c>
      <c r="N103" s="29">
        <f>N43+N44+N46+N48+N50+N51+N52+N53+N54+N60+N64+N47+N66</f>
        <v>5120.8</v>
      </c>
      <c r="O103" s="229">
        <f>O43+O44+O46+O48+O50+O51+O52+O53+O54+O60+O64+O47+O66</f>
        <v>5557.776000000001</v>
      </c>
      <c r="P103" s="29">
        <f>#N/A</f>
        <v>436.89600000000064</v>
      </c>
      <c r="Q103" s="230">
        <f>O103/N103</f>
        <v>1.0853335416341199</v>
      </c>
    </row>
    <row r="104" spans="2:17" ht="15" hidden="1">
      <c r="B104" s="4" t="s">
        <v>121</v>
      </c>
      <c r="D104" s="29">
        <f>SUM(D102:D103)</f>
        <v>1357491.1</v>
      </c>
      <c r="E104" s="29">
        <f>#N/A</f>
        <v>417417.1</v>
      </c>
      <c r="F104" s="229">
        <f>#N/A</f>
        <v>419761.754</v>
      </c>
      <c r="G104" s="29">
        <f>#N/A</f>
        <v>2349.9040000000523</v>
      </c>
      <c r="H104" s="230">
        <f>F104/E104</f>
        <v>1.005617053062752</v>
      </c>
      <c r="I104" s="29">
        <f>#N/A</f>
        <v>-937724.0960000001</v>
      </c>
      <c r="J104" s="230">
        <f>F104/D104</f>
        <v>0.3092187889850622</v>
      </c>
      <c r="K104" s="29">
        <f>#N/A</f>
        <v>16662.34</v>
      </c>
      <c r="L104" s="29">
        <f>#N/A</f>
        <v>2952.3460000000014</v>
      </c>
      <c r="M104" s="29">
        <f>#N/A</f>
        <v>20.42521813055033</v>
      </c>
      <c r="N104" s="29">
        <f>#N/A</f>
        <v>110560.2</v>
      </c>
      <c r="O104" s="229">
        <f>#N/A</f>
        <v>112332.75400000002</v>
      </c>
      <c r="P104" s="29">
        <f>#N/A</f>
        <v>1772.4740000000238</v>
      </c>
      <c r="Q104" s="230">
        <f>O104/N104</f>
        <v>1.016032478233578</v>
      </c>
    </row>
    <row r="105" spans="4:21" ht="15" hidden="1">
      <c r="D105" s="29">
        <f>D67-D104</f>
        <v>0</v>
      </c>
      <c r="E105" s="29">
        <f>#N/A</f>
        <v>0</v>
      </c>
      <c r="F105" s="29">
        <f>#N/A</f>
        <v>0</v>
      </c>
      <c r="G105" s="29">
        <f>#N/A</f>
        <v>-5.250000000013642</v>
      </c>
      <c r="H105" s="230"/>
      <c r="I105" s="29">
        <f>#N/A</f>
        <v>-5.25</v>
      </c>
      <c r="J105" s="230"/>
      <c r="K105" s="29">
        <f>#N/A</f>
        <v>294242.8</v>
      </c>
      <c r="L105" s="29">
        <f>#N/A</f>
        <v>105904.268</v>
      </c>
      <c r="M105" s="29">
        <f>#N/A</f>
        <v>-19.075090068981453</v>
      </c>
      <c r="N105" s="29">
        <f>#N/A</f>
        <v>0</v>
      </c>
      <c r="O105" s="29">
        <f>#N/A</f>
        <v>0</v>
      </c>
      <c r="P105" s="29">
        <f>#N/A</f>
        <v>0.07999999999447027</v>
      </c>
      <c r="Q105" s="29"/>
      <c r="R105" s="29">
        <f>#N/A</f>
        <v>110624.8</v>
      </c>
      <c r="S105" s="29"/>
      <c r="T105" s="29"/>
      <c r="U105" s="29">
        <f>#N/A</f>
        <v>3.230923665439485</v>
      </c>
    </row>
    <row r="106" ht="15" hidden="1">
      <c r="E106" s="4" t="s">
        <v>58</v>
      </c>
    </row>
    <row r="107" spans="2:5" ht="15" hidden="1">
      <c r="B107" s="245" t="s">
        <v>165</v>
      </c>
      <c r="E107" s="29">
        <f>E67-E9-E20-E29-E35</f>
        <v>43161.39999999998</v>
      </c>
    </row>
    <row r="108" spans="2:5" ht="15" hidden="1">
      <c r="B108" s="245" t="s">
        <v>166</v>
      </c>
      <c r="E108" s="29">
        <f>E88-E83-E76-E77</f>
        <v>8520.599999999999</v>
      </c>
    </row>
    <row r="109" ht="15" hidden="1"/>
    <row r="110" spans="2:21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268"/>
      <c r="N110" s="266"/>
      <c r="O110" s="266"/>
      <c r="P110" s="267"/>
      <c r="Q110" s="267"/>
      <c r="R110" s="270"/>
      <c r="S110" s="270"/>
      <c r="T110" s="270"/>
      <c r="U110" s="97"/>
    </row>
    <row r="111" spans="2:21" ht="23.25" customHeight="1" hidden="1">
      <c r="B111" s="14" t="s">
        <v>31</v>
      </c>
      <c r="C111" s="66"/>
      <c r="D111" s="191">
        <f>D88+D110</f>
        <v>318064.25</v>
      </c>
      <c r="E111" s="191">
        <f>E88+E110</f>
        <v>37417.86</v>
      </c>
      <c r="F111" s="191">
        <f>F88+F110</f>
        <v>24667.81</v>
      </c>
      <c r="G111" s="192">
        <f>F111-E111</f>
        <v>-12750.05</v>
      </c>
      <c r="H111" s="193">
        <f>F111/E111*100</f>
        <v>65.92522928890108</v>
      </c>
      <c r="I111" s="194">
        <f>F111-D111</f>
        <v>-293396.44</v>
      </c>
      <c r="J111" s="194">
        <f>F111/D111*100</f>
        <v>7.755605982124682</v>
      </c>
      <c r="K111" s="194">
        <v>3039.87</v>
      </c>
      <c r="L111" s="194">
        <f>F111-K111</f>
        <v>21627.940000000002</v>
      </c>
      <c r="M111" s="269">
        <f>F111/K111</f>
        <v>8.11475819689658</v>
      </c>
      <c r="N111" s="272"/>
      <c r="O111" s="272"/>
      <c r="P111" s="273"/>
      <c r="Q111" s="273"/>
      <c r="R111" s="271">
        <f>O111-8104.96</f>
        <v>-8104.96</v>
      </c>
      <c r="S111" s="271"/>
      <c r="T111" s="271"/>
      <c r="U111" s="95">
        <f>O111/8104.96</f>
        <v>0</v>
      </c>
    </row>
    <row r="112" spans="2:21" ht="17.25" hidden="1">
      <c r="B112" s="21" t="s">
        <v>181</v>
      </c>
      <c r="C112" s="66"/>
      <c r="D112" s="191">
        <f>D111+D67</f>
        <v>1675555.35</v>
      </c>
      <c r="E112" s="191">
        <f>E111+E67</f>
        <v>454834.95999999996</v>
      </c>
      <c r="F112" s="191">
        <f>F111+F67</f>
        <v>444429.564</v>
      </c>
      <c r="G112" s="192">
        <f>F112-E112</f>
        <v>-10405.39599999995</v>
      </c>
      <c r="H112" s="193">
        <f>F112/E112*100</f>
        <v>97.71226996271352</v>
      </c>
      <c r="I112" s="194">
        <f>F112-D112</f>
        <v>-1231125.786</v>
      </c>
      <c r="J112" s="194">
        <f>F112/D112*100</f>
        <v>26.52431410278389</v>
      </c>
      <c r="K112" s="194">
        <f>K89+K111</f>
        <v>325584.76</v>
      </c>
      <c r="L112" s="194">
        <f>F112-K112</f>
        <v>118844.804</v>
      </c>
      <c r="M112" s="269">
        <f>F112/K112</f>
        <v>1.3650195543550625</v>
      </c>
      <c r="N112" s="274"/>
      <c r="O112" s="274"/>
      <c r="P112" s="273"/>
      <c r="Q112" s="273"/>
      <c r="R112" s="271">
        <f>O112-42872.96</f>
        <v>-42872.96</v>
      </c>
      <c r="S112" s="271"/>
      <c r="T112" s="271"/>
      <c r="U112" s="95">
        <f>O112/42872.96</f>
        <v>0</v>
      </c>
    </row>
    <row r="113" spans="2:21" ht="15" hidden="1">
      <c r="B113" s="241" t="s">
        <v>183</v>
      </c>
      <c r="C113" s="239">
        <v>40000000</v>
      </c>
      <c r="D113" s="244">
        <f>#N/A</f>
        <v>1222868.6900000002</v>
      </c>
      <c r="E113" s="244">
        <f>#N/A</f>
        <v>550655.6</v>
      </c>
      <c r="F113" s="244">
        <f>#N/A</f>
        <v>545829.08</v>
      </c>
      <c r="G113" s="244">
        <f>#N/A</f>
        <v>-4826.520000000019</v>
      </c>
      <c r="H113" s="244">
        <f>F113/E113*100</f>
        <v>99.12349570221387</v>
      </c>
      <c r="I113" s="36">
        <f>#N/A</f>
        <v>-677039.6100000002</v>
      </c>
      <c r="J113" s="36">
        <f>F113/D113*100</f>
        <v>44.63513412875097</v>
      </c>
      <c r="Q113" s="89"/>
      <c r="U113" s="4"/>
    </row>
    <row r="114" spans="2:21" ht="15" customHeight="1" hidden="1">
      <c r="B114" s="240" t="s">
        <v>154</v>
      </c>
      <c r="C114" s="239">
        <v>41000000</v>
      </c>
      <c r="D114" s="244">
        <f>#N/A</f>
        <v>1222868.6900000002</v>
      </c>
      <c r="E114" s="244">
        <f>#N/A</f>
        <v>550655.6</v>
      </c>
      <c r="F114" s="244">
        <f>#N/A</f>
        <v>545829.08</v>
      </c>
      <c r="G114" s="244">
        <f>#N/A</f>
        <v>-4826.520000000019</v>
      </c>
      <c r="H114" s="244">
        <f>#N/A</f>
        <v>99.12349570221387</v>
      </c>
      <c r="I114" s="36">
        <f>#N/A</f>
        <v>-677039.6100000002</v>
      </c>
      <c r="J114" s="36">
        <f>#N/A</f>
        <v>44.63513412875097</v>
      </c>
      <c r="Q114" s="89"/>
      <c r="U114" s="4"/>
    </row>
    <row r="115" spans="2:21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>
        <f>#N/A</f>
        <v>-4826.520000000019</v>
      </c>
      <c r="H115" s="244">
        <f>#N/A</f>
        <v>99.12349570221387</v>
      </c>
      <c r="I115" s="36">
        <f>#N/A</f>
        <v>-677039.6100000002</v>
      </c>
      <c r="J115" s="36">
        <f>#N/A</f>
        <v>44.63513412875097</v>
      </c>
      <c r="Q115" s="89"/>
      <c r="U115" s="4"/>
    </row>
    <row r="116" spans="2:21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>
        <f>#N/A</f>
        <v>-3734.029999999999</v>
      </c>
      <c r="H116" s="244">
        <f>#N/A</f>
        <v>95.0108160470321</v>
      </c>
      <c r="I116" s="36">
        <f>#N/A</f>
        <v>-240704.93000000002</v>
      </c>
      <c r="J116" s="36">
        <f>#N/A</f>
        <v>22.80481531582671</v>
      </c>
      <c r="Q116" s="89"/>
      <c r="U116" s="4"/>
    </row>
    <row r="117" spans="2:21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>
        <f>#N/A</f>
        <v>-707.6699999999837</v>
      </c>
      <c r="H117" s="244">
        <f>#N/A</f>
        <v>99.80061079304002</v>
      </c>
      <c r="I117" s="36">
        <f>#N/A</f>
        <v>-54436.96000000002</v>
      </c>
      <c r="J117" s="36">
        <f>#N/A</f>
        <v>86.67877161822808</v>
      </c>
      <c r="Q117" s="89"/>
      <c r="U117" s="4"/>
    </row>
    <row r="118" spans="2:21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>
        <f>#N/A</f>
        <v>-16.159999999999997</v>
      </c>
      <c r="H118" s="244">
        <f>#N/A</f>
        <v>71.64912280701755</v>
      </c>
      <c r="I118" s="36">
        <f>#N/A</f>
        <v>-186.85999999999999</v>
      </c>
      <c r="J118" s="36">
        <f>#N/A</f>
        <v>17.9358805445762</v>
      </c>
      <c r="Q118" s="89"/>
      <c r="U118" s="4"/>
    </row>
    <row r="119" spans="2:21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>
        <f>#N/A</f>
        <v>0</v>
      </c>
      <c r="H119" s="244">
        <f>#N/A</f>
        <v>100</v>
      </c>
      <c r="I119" s="36">
        <f>#N/A</f>
        <v>-187142.9</v>
      </c>
      <c r="J119" s="36">
        <f>#N/A</f>
        <v>23.092327639525013</v>
      </c>
      <c r="Q119" s="89"/>
      <c r="U119" s="4"/>
    </row>
    <row r="120" spans="2:21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>
        <f>#N/A</f>
        <v>0</v>
      </c>
      <c r="H120" s="244">
        <f>#N/A</f>
        <v>100</v>
      </c>
      <c r="I120" s="36">
        <f>#N/A</f>
        <v>-178707.6</v>
      </c>
      <c r="J120" s="36">
        <f>#N/A</f>
        <v>24.991406068008537</v>
      </c>
      <c r="Q120" s="89"/>
      <c r="U120" s="4"/>
    </row>
    <row r="121" spans="2:21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>
        <f>#N/A</f>
        <v>-460.1399999999999</v>
      </c>
      <c r="H121" s="244">
        <f>#N/A</f>
        <v>89.02806292160552</v>
      </c>
      <c r="I121" s="36">
        <f>#N/A</f>
        <v>-12505.44</v>
      </c>
      <c r="J121" s="36">
        <f>#N/A</f>
        <v>22.99174399550714</v>
      </c>
      <c r="Q121" s="89"/>
      <c r="U121" s="4"/>
    </row>
    <row r="122" spans="2:21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>
        <f>#N/A</f>
        <v>165.7</v>
      </c>
      <c r="H122" s="244">
        <f>#N/A</f>
        <v>0</v>
      </c>
      <c r="I122" s="36">
        <f>#N/A</f>
        <v>165.7</v>
      </c>
      <c r="J122" s="36" t="e">
        <f>#N/A</f>
        <v>#DIV/0!</v>
      </c>
      <c r="Q122" s="89"/>
      <c r="U122" s="4"/>
    </row>
    <row r="123" spans="2:21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>
        <f>#N/A</f>
        <v>-74.22000000000003</v>
      </c>
      <c r="H123" s="244">
        <f>#N/A</f>
        <v>91.84305967688756</v>
      </c>
      <c r="I123" s="36">
        <f>#N/A</f>
        <v>-3520.6200000000003</v>
      </c>
      <c r="J123" s="36">
        <f>#N/A</f>
        <v>19.183251842159628</v>
      </c>
      <c r="Q123" s="89"/>
      <c r="U123" s="4"/>
    </row>
    <row r="124" spans="2:17" s="242" customFormat="1" ht="25.5" customHeight="1" hidden="1">
      <c r="B124" s="275" t="s">
        <v>158</v>
      </c>
      <c r="C124" s="276"/>
      <c r="D124" s="277">
        <f>D112+D113</f>
        <v>2898424.04</v>
      </c>
      <c r="E124" s="277">
        <f>E112+E113</f>
        <v>1005490.5599999999</v>
      </c>
      <c r="F124" s="277">
        <f>F112+F113</f>
        <v>990258.644</v>
      </c>
      <c r="G124" s="278">
        <f>#N/A</f>
        <v>-15231.915999999968</v>
      </c>
      <c r="H124" s="277">
        <f>#N/A</f>
        <v>98.48512590709952</v>
      </c>
      <c r="I124" s="279">
        <f>#N/A</f>
        <v>-1908165.3960000002</v>
      </c>
      <c r="J124" s="279">
        <f>#N/A</f>
        <v>34.16541645852482</v>
      </c>
      <c r="Q124" s="243"/>
    </row>
    <row r="125" ht="15" hidden="1"/>
    <row r="126" ht="15" hidden="1"/>
  </sheetData>
  <sheetProtection/>
  <mergeCells count="38">
    <mergeCell ref="E4:E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U3"/>
    <mergeCell ref="P4:P5"/>
    <mergeCell ref="Q4:Q5"/>
    <mergeCell ref="K5:M5"/>
    <mergeCell ref="G92:J92"/>
    <mergeCell ref="O93:P93"/>
    <mergeCell ref="F4:F5"/>
    <mergeCell ref="G4:G5"/>
    <mergeCell ref="H4:H5"/>
    <mergeCell ref="I4:I5"/>
    <mergeCell ref="J4:J5"/>
    <mergeCell ref="G98:H98"/>
    <mergeCell ref="G94:H94"/>
    <mergeCell ref="J94:N94"/>
    <mergeCell ref="O94:P94"/>
    <mergeCell ref="G95:H95"/>
    <mergeCell ref="J95:N95"/>
    <mergeCell ref="O95:P95"/>
    <mergeCell ref="R5:S5"/>
    <mergeCell ref="T5:U5"/>
    <mergeCell ref="B99:C99"/>
    <mergeCell ref="G99:H99"/>
    <mergeCell ref="O101:P101"/>
    <mergeCell ref="G96:H96"/>
    <mergeCell ref="J96:N96"/>
    <mergeCell ref="B97:C97"/>
    <mergeCell ref="G97:H97"/>
    <mergeCell ref="J97:N97"/>
  </mergeCells>
  <printOptions/>
  <pageMargins left="0" right="0" top="0" bottom="0" header="0" footer="0"/>
  <pageSetup fitToHeight="2" fitToWidth="1" orientation="portrait" paperSize="9" scale="5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24"/>
  <sheetViews>
    <sheetView zoomScale="79" zoomScaleNormal="79" zoomScalePageLayoutView="0" workbookViewId="0" topLeftCell="B1">
      <pane xSplit="2" ySplit="8" topLeftCell="F83" activePane="bottomRight" state="frozen"/>
      <selection pane="topLeft" activeCell="B1" sqref="B1"/>
      <selection pane="topRight" activeCell="D1" sqref="D1"/>
      <selection pane="bottomLeft" activeCell="B9" sqref="B9"/>
      <selection pane="bottomRight" activeCell="K91" sqref="K91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89" hidden="1" customWidth="1"/>
    <col min="20" max="20" width="11.50390625" style="29" hidden="1" customWidth="1"/>
    <col min="21" max="21" width="9.125" style="250" hidden="1" customWidth="1"/>
    <col min="22" max="23" width="9.125" style="78" hidden="1" customWidth="1"/>
    <col min="24" max="16384" width="9.125" style="4" customWidth="1"/>
  </cols>
  <sheetData>
    <row r="1" spans="1:23" s="1" customFormat="1" ht="26.25" customHeight="1">
      <c r="A1" s="396" t="s">
        <v>185</v>
      </c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  <c r="M1" s="396"/>
      <c r="N1" s="396"/>
      <c r="O1" s="396"/>
      <c r="P1" s="396"/>
      <c r="Q1" s="396"/>
      <c r="R1" s="86"/>
      <c r="S1" s="87"/>
      <c r="T1" s="246"/>
      <c r="U1" s="249"/>
      <c r="V1" s="259"/>
      <c r="W1" s="259"/>
    </row>
    <row r="2" spans="2:23" s="1" customFormat="1" ht="15.75" customHeight="1">
      <c r="B2" s="397"/>
      <c r="C2" s="397"/>
      <c r="D2" s="397"/>
      <c r="E2" s="2"/>
      <c r="F2" s="112"/>
      <c r="G2" s="2"/>
      <c r="H2" s="2"/>
      <c r="M2" s="1" t="s">
        <v>24</v>
      </c>
      <c r="Q2" s="17" t="s">
        <v>24</v>
      </c>
      <c r="R2" s="17"/>
      <c r="S2" s="88"/>
      <c r="T2" s="246"/>
      <c r="U2" s="249"/>
      <c r="V2" s="259"/>
      <c r="W2" s="259"/>
    </row>
    <row r="3" spans="1:23" s="3" customFormat="1" ht="13.5" customHeight="1">
      <c r="A3" s="398"/>
      <c r="B3" s="400"/>
      <c r="C3" s="401" t="s">
        <v>0</v>
      </c>
      <c r="D3" s="402" t="s">
        <v>150</v>
      </c>
      <c r="E3" s="32"/>
      <c r="F3" s="403" t="s">
        <v>26</v>
      </c>
      <c r="G3" s="404"/>
      <c r="H3" s="404"/>
      <c r="I3" s="404"/>
      <c r="J3" s="405"/>
      <c r="K3" s="83"/>
      <c r="L3" s="83"/>
      <c r="M3" s="83"/>
      <c r="N3" s="406" t="s">
        <v>163</v>
      </c>
      <c r="O3" s="409" t="s">
        <v>164</v>
      </c>
      <c r="P3" s="409"/>
      <c r="Q3" s="409"/>
      <c r="R3" s="409"/>
      <c r="S3" s="409"/>
      <c r="T3" s="113" t="s">
        <v>174</v>
      </c>
      <c r="U3" s="113" t="s">
        <v>174</v>
      </c>
      <c r="V3" s="260" t="s">
        <v>174</v>
      </c>
      <c r="W3" s="260" t="s">
        <v>174</v>
      </c>
    </row>
    <row r="4" spans="1:22" ht="22.5" customHeight="1">
      <c r="A4" s="398"/>
      <c r="B4" s="400"/>
      <c r="C4" s="401"/>
      <c r="D4" s="402"/>
      <c r="E4" s="392" t="s">
        <v>153</v>
      </c>
      <c r="F4" s="422" t="s">
        <v>33</v>
      </c>
      <c r="G4" s="410" t="s">
        <v>162</v>
      </c>
      <c r="H4" s="407" t="s">
        <v>176</v>
      </c>
      <c r="I4" s="410" t="s">
        <v>138</v>
      </c>
      <c r="J4" s="407" t="s">
        <v>139</v>
      </c>
      <c r="K4" s="85" t="s">
        <v>141</v>
      </c>
      <c r="L4" s="204" t="s">
        <v>113</v>
      </c>
      <c r="M4" s="90" t="s">
        <v>63</v>
      </c>
      <c r="N4" s="407"/>
      <c r="O4" s="394" t="s">
        <v>186</v>
      </c>
      <c r="P4" s="410" t="s">
        <v>49</v>
      </c>
      <c r="Q4" s="412" t="s">
        <v>48</v>
      </c>
      <c r="R4" s="91" t="s">
        <v>64</v>
      </c>
      <c r="S4" s="92" t="s">
        <v>63</v>
      </c>
      <c r="T4" s="29" t="s">
        <v>173</v>
      </c>
      <c r="U4" s="250" t="s">
        <v>173</v>
      </c>
      <c r="V4" s="78" t="s">
        <v>175</v>
      </c>
    </row>
    <row r="5" spans="1:23" ht="67.5" customHeight="1">
      <c r="A5" s="399"/>
      <c r="B5" s="400"/>
      <c r="C5" s="401"/>
      <c r="D5" s="402"/>
      <c r="E5" s="393"/>
      <c r="F5" s="423"/>
      <c r="G5" s="411"/>
      <c r="H5" s="408"/>
      <c r="I5" s="411"/>
      <c r="J5" s="408"/>
      <c r="K5" s="413" t="s">
        <v>169</v>
      </c>
      <c r="L5" s="414"/>
      <c r="M5" s="415"/>
      <c r="N5" s="408"/>
      <c r="O5" s="395"/>
      <c r="P5" s="411"/>
      <c r="Q5" s="412"/>
      <c r="R5" s="413" t="s">
        <v>102</v>
      </c>
      <c r="S5" s="415"/>
      <c r="T5" s="29" t="s">
        <v>167</v>
      </c>
      <c r="U5" s="250" t="s">
        <v>168</v>
      </c>
      <c r="V5" s="78" t="s">
        <v>167</v>
      </c>
      <c r="W5" s="261" t="s">
        <v>168</v>
      </c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10">
        <v>17</v>
      </c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93"/>
    </row>
    <row r="8" spans="1:23" s="6" customFormat="1" ht="17.25">
      <c r="A8" s="7"/>
      <c r="B8" s="154" t="s">
        <v>9</v>
      </c>
      <c r="C8" s="70" t="s">
        <v>10</v>
      </c>
      <c r="D8" s="151">
        <f>D9+D15+D18+D19+D23+D40+D17</f>
        <v>1298451.1</v>
      </c>
      <c r="E8" s="151">
        <f>E9+E15+E18+E19+E23+E40+E17+E21+E22</f>
        <v>292539.5</v>
      </c>
      <c r="F8" s="151">
        <f>F9+F15+F18+F19+F23+F40</f>
        <v>293545.81999999995</v>
      </c>
      <c r="G8" s="151">
        <f>#N/A</f>
        <v>1006.3199999999488</v>
      </c>
      <c r="H8" s="152">
        <f>F8/E8*100</f>
        <v>100.3439945716732</v>
      </c>
      <c r="I8" s="153">
        <f>F8-D8</f>
        <v>-1004905.2800000001</v>
      </c>
      <c r="J8" s="153">
        <f>F8/D8*100</f>
        <v>22.607383520257322</v>
      </c>
      <c r="K8" s="151">
        <v>209787.72</v>
      </c>
      <c r="L8" s="151">
        <f>#N/A</f>
        <v>83758.09999999995</v>
      </c>
      <c r="M8" s="205">
        <f>#N/A</f>
        <v>1.3992516816522909</v>
      </c>
      <c r="N8" s="151">
        <f>N9+N15+N18+N19+N23+N17</f>
        <v>96294</v>
      </c>
      <c r="O8" s="151">
        <f>O9+O15+O18+O19+O23+O17</f>
        <v>98714.34999999998</v>
      </c>
      <c r="P8" s="151">
        <f>O8-N8</f>
        <v>2420.3499999999767</v>
      </c>
      <c r="Q8" s="151">
        <f>O8/N8*100</f>
        <v>102.51350032193074</v>
      </c>
      <c r="R8" s="15" t="e">
        <f>#N/A</f>
        <v>#N/A</v>
      </c>
      <c r="S8" s="15" t="e">
        <f>#N/A</f>
        <v>#N/A</v>
      </c>
      <c r="T8" s="147"/>
      <c r="U8" s="247"/>
      <c r="V8" s="132"/>
      <c r="W8" s="132"/>
    </row>
    <row r="9" spans="1:23" s="6" customFormat="1" ht="18">
      <c r="A9" s="8"/>
      <c r="B9" s="13" t="s">
        <v>79</v>
      </c>
      <c r="C9" s="43">
        <v>11010000</v>
      </c>
      <c r="D9" s="150">
        <v>766645</v>
      </c>
      <c r="E9" s="150">
        <f>159160+2700</f>
        <v>161860</v>
      </c>
      <c r="F9" s="156">
        <v>162187.36</v>
      </c>
      <c r="G9" s="150">
        <f>#N/A</f>
        <v>327.35999999998603</v>
      </c>
      <c r="H9" s="157">
        <f>F9/E9*100</f>
        <v>100.20224885703695</v>
      </c>
      <c r="I9" s="158">
        <f>F9-D9</f>
        <v>-604457.64</v>
      </c>
      <c r="J9" s="158">
        <f>F9/D9*100</f>
        <v>21.15547091548239</v>
      </c>
      <c r="K9" s="227">
        <v>112281.82</v>
      </c>
      <c r="L9" s="159">
        <f>#N/A</f>
        <v>49905.53999999998</v>
      </c>
      <c r="M9" s="206">
        <f>#N/A</f>
        <v>1.444466789013573</v>
      </c>
      <c r="N9" s="157">
        <f>E9-лютий!E9</f>
        <v>59660</v>
      </c>
      <c r="O9" s="160">
        <f>F9-лютий!F9</f>
        <v>60301.419999999984</v>
      </c>
      <c r="P9" s="161">
        <f>O9-N9</f>
        <v>641.4199999999837</v>
      </c>
      <c r="Q9" s="158">
        <f>O9/N9*100</f>
        <v>101.07512571237007</v>
      </c>
      <c r="R9" s="100"/>
      <c r="S9" s="101"/>
      <c r="T9" s="147">
        <v>58776</v>
      </c>
      <c r="U9" s="247">
        <f>O9-T9</f>
        <v>1525.4199999999837</v>
      </c>
      <c r="V9" s="132">
        <v>160661.9</v>
      </c>
      <c r="W9" s="265">
        <f>F9-V9</f>
        <v>1525.4599999999919</v>
      </c>
    </row>
    <row r="10" spans="1:23" s="6" customFormat="1" ht="15" hidden="1">
      <c r="A10" s="8"/>
      <c r="B10" s="121" t="s">
        <v>89</v>
      </c>
      <c r="C10" s="102">
        <v>11010100</v>
      </c>
      <c r="D10" s="103">
        <v>701317</v>
      </c>
      <c r="E10" s="103">
        <f>143812+2700</f>
        <v>146512</v>
      </c>
      <c r="F10" s="140">
        <v>148315.37</v>
      </c>
      <c r="G10" s="103">
        <f>#N/A</f>
        <v>1803.3699999999953</v>
      </c>
      <c r="H10" s="30">
        <f>#N/A</f>
        <v>101.23086846128643</v>
      </c>
      <c r="I10" s="104">
        <f>#N/A</f>
        <v>-553001.63</v>
      </c>
      <c r="J10" s="104">
        <f>#N/A</f>
        <v>21.14812132031592</v>
      </c>
      <c r="K10" s="106">
        <v>98464.38</v>
      </c>
      <c r="L10" s="106">
        <f>#N/A</f>
        <v>49850.98999999999</v>
      </c>
      <c r="M10" s="207">
        <f>#N/A</f>
        <v>1.5062845061330807</v>
      </c>
      <c r="N10" s="105">
        <f>E10-лютий!E10</f>
        <v>54164</v>
      </c>
      <c r="O10" s="144">
        <f>F10-лютий!F10</f>
        <v>55588.729999999996</v>
      </c>
      <c r="P10" s="106">
        <f>#N/A</f>
        <v>1424.729999999996</v>
      </c>
      <c r="Q10" s="104">
        <f>#N/A</f>
        <v>102.63040026585924</v>
      </c>
      <c r="R10" s="37"/>
      <c r="S10" s="94"/>
      <c r="T10" s="147"/>
      <c r="U10" s="247">
        <f>#N/A</f>
        <v>55588.729999999996</v>
      </c>
      <c r="V10" s="132"/>
      <c r="W10" s="264"/>
    </row>
    <row r="11" spans="1:23" s="6" customFormat="1" ht="15" hidden="1">
      <c r="A11" s="8"/>
      <c r="B11" s="121" t="s">
        <v>85</v>
      </c>
      <c r="C11" s="102">
        <v>11010200</v>
      </c>
      <c r="D11" s="103">
        <v>46506</v>
      </c>
      <c r="E11" s="103">
        <v>10800</v>
      </c>
      <c r="F11" s="140">
        <v>9104.48</v>
      </c>
      <c r="G11" s="103">
        <f>#N/A</f>
        <v>-1695.5200000000004</v>
      </c>
      <c r="H11" s="30">
        <f>#N/A</f>
        <v>84.30074074074074</v>
      </c>
      <c r="I11" s="104">
        <f>#N/A</f>
        <v>-37401.520000000004</v>
      </c>
      <c r="J11" s="104">
        <f>#N/A</f>
        <v>19.57700081709887</v>
      </c>
      <c r="K11" s="106">
        <v>8077.11</v>
      </c>
      <c r="L11" s="106">
        <f>#N/A</f>
        <v>1027.37</v>
      </c>
      <c r="M11" s="207">
        <f>#N/A</f>
        <v>1.1271952468147641</v>
      </c>
      <c r="N11" s="105">
        <f>E11-лютий!E11</f>
        <v>3600</v>
      </c>
      <c r="O11" s="144">
        <f>F11-лютий!F11</f>
        <v>3209.2199999999993</v>
      </c>
      <c r="P11" s="106">
        <f>#N/A</f>
        <v>-390.78000000000065</v>
      </c>
      <c r="Q11" s="104">
        <f>#N/A</f>
        <v>89.14499999999998</v>
      </c>
      <c r="R11" s="37"/>
      <c r="S11" s="94"/>
      <c r="T11" s="147"/>
      <c r="U11" s="247">
        <f>#N/A</f>
        <v>3209.2199999999993</v>
      </c>
      <c r="V11" s="132"/>
      <c r="W11" s="264"/>
    </row>
    <row r="12" spans="1:23" s="6" customFormat="1" ht="15" hidden="1">
      <c r="A12" s="8"/>
      <c r="B12" s="121" t="s">
        <v>88</v>
      </c>
      <c r="C12" s="102">
        <v>11010400</v>
      </c>
      <c r="D12" s="103">
        <v>8280</v>
      </c>
      <c r="E12" s="103">
        <v>1740</v>
      </c>
      <c r="F12" s="140">
        <v>1764.69</v>
      </c>
      <c r="G12" s="103">
        <f>#N/A</f>
        <v>24.690000000000055</v>
      </c>
      <c r="H12" s="30">
        <f>#N/A</f>
        <v>101.41896551724139</v>
      </c>
      <c r="I12" s="104">
        <f>#N/A</f>
        <v>-6515.3099999999995</v>
      </c>
      <c r="J12" s="104">
        <f>#N/A</f>
        <v>21.31268115942029</v>
      </c>
      <c r="K12" s="106">
        <v>2379.47</v>
      </c>
      <c r="L12" s="106">
        <f>#N/A</f>
        <v>-614.7799999999997</v>
      </c>
      <c r="M12" s="207">
        <f>#N/A</f>
        <v>0.7416315397966775</v>
      </c>
      <c r="N12" s="105">
        <f>E12-лютий!E12</f>
        <v>900</v>
      </c>
      <c r="O12" s="144">
        <f>F12-лютий!F12</f>
        <v>727.27</v>
      </c>
      <c r="P12" s="106">
        <f>#N/A</f>
        <v>-172.73000000000002</v>
      </c>
      <c r="Q12" s="104">
        <f>#N/A</f>
        <v>80.80777777777777</v>
      </c>
      <c r="R12" s="37"/>
      <c r="S12" s="94"/>
      <c r="T12" s="147"/>
      <c r="U12" s="247">
        <f>#N/A</f>
        <v>727.27</v>
      </c>
      <c r="V12" s="132"/>
      <c r="W12" s="264"/>
    </row>
    <row r="13" spans="1:23" s="6" customFormat="1" ht="15" hidden="1">
      <c r="A13" s="8"/>
      <c r="B13" s="121" t="s">
        <v>86</v>
      </c>
      <c r="C13" s="102">
        <v>11010500</v>
      </c>
      <c r="D13" s="103">
        <v>9390</v>
      </c>
      <c r="E13" s="103">
        <v>2520</v>
      </c>
      <c r="F13" s="140">
        <v>2629.16</v>
      </c>
      <c r="G13" s="103">
        <f>#N/A</f>
        <v>109.15999999999985</v>
      </c>
      <c r="H13" s="30">
        <f>#N/A</f>
        <v>104.33174603174602</v>
      </c>
      <c r="I13" s="104">
        <f>#N/A</f>
        <v>-6760.84</v>
      </c>
      <c r="J13" s="104">
        <f>#N/A</f>
        <v>27.999574014909477</v>
      </c>
      <c r="K13" s="106">
        <v>2424.94</v>
      </c>
      <c r="L13" s="106">
        <f>#N/A</f>
        <v>204.2199999999998</v>
      </c>
      <c r="M13" s="207">
        <f>#N/A</f>
        <v>1.0842165166973203</v>
      </c>
      <c r="N13" s="105">
        <f>E13-лютий!E13</f>
        <v>900</v>
      </c>
      <c r="O13" s="144">
        <f>F13-лютий!F13</f>
        <v>600.8399999999999</v>
      </c>
      <c r="P13" s="106">
        <f>#N/A</f>
        <v>-299.1600000000001</v>
      </c>
      <c r="Q13" s="104">
        <f>#N/A</f>
        <v>66.75999999999999</v>
      </c>
      <c r="R13" s="37"/>
      <c r="S13" s="94"/>
      <c r="T13" s="147"/>
      <c r="U13" s="247">
        <f>#N/A</f>
        <v>600.8399999999999</v>
      </c>
      <c r="V13" s="132"/>
      <c r="W13" s="264"/>
    </row>
    <row r="14" spans="1:23" s="6" customFormat="1" ht="15" hidden="1">
      <c r="A14" s="8"/>
      <c r="B14" s="121" t="s">
        <v>87</v>
      </c>
      <c r="C14" s="102">
        <v>11010900</v>
      </c>
      <c r="D14" s="103">
        <v>1152</v>
      </c>
      <c r="E14" s="103">
        <v>288</v>
      </c>
      <c r="F14" s="140">
        <v>373.67</v>
      </c>
      <c r="G14" s="103">
        <f>#N/A</f>
        <v>85.67000000000002</v>
      </c>
      <c r="H14" s="30">
        <f>#N/A</f>
        <v>129.74652777777777</v>
      </c>
      <c r="I14" s="104">
        <f>#N/A</f>
        <v>-778.3299999999999</v>
      </c>
      <c r="J14" s="104">
        <f>#N/A</f>
        <v>32.43663194444444</v>
      </c>
      <c r="K14" s="106">
        <v>935.92</v>
      </c>
      <c r="L14" s="106">
        <f>#N/A</f>
        <v>-562.25</v>
      </c>
      <c r="M14" s="207">
        <f>#N/A</f>
        <v>0.3992542097615181</v>
      </c>
      <c r="N14" s="105">
        <f>E14-лютий!E14</f>
        <v>96</v>
      </c>
      <c r="O14" s="144">
        <f>F14-лютий!F14</f>
        <v>175.36</v>
      </c>
      <c r="P14" s="106">
        <f>#N/A</f>
        <v>79.36000000000001</v>
      </c>
      <c r="Q14" s="104">
        <f>#N/A</f>
        <v>182.66666666666669</v>
      </c>
      <c r="R14" s="37"/>
      <c r="S14" s="94"/>
      <c r="T14" s="247"/>
      <c r="U14" s="247">
        <f>#N/A</f>
        <v>175.36</v>
      </c>
      <c r="V14" s="132"/>
      <c r="W14" s="264"/>
    </row>
    <row r="15" spans="1:23" s="6" customFormat="1" ht="30.75">
      <c r="A15" s="8"/>
      <c r="B15" s="12" t="s">
        <v>11</v>
      </c>
      <c r="C15" s="43">
        <v>11020200</v>
      </c>
      <c r="D15" s="150">
        <v>551</v>
      </c>
      <c r="E15" s="150">
        <v>171</v>
      </c>
      <c r="F15" s="156">
        <v>-366.42</v>
      </c>
      <c r="G15" s="150">
        <f>#N/A</f>
        <v>-537.4200000000001</v>
      </c>
      <c r="H15" s="157">
        <f>F15/E15*100</f>
        <v>-214.28070175438597</v>
      </c>
      <c r="I15" s="158">
        <f>#N/A</f>
        <v>-917.4200000000001</v>
      </c>
      <c r="J15" s="158">
        <f>#N/A</f>
        <v>-66.50090744101634</v>
      </c>
      <c r="K15" s="161">
        <v>185.06</v>
      </c>
      <c r="L15" s="161">
        <f>#N/A</f>
        <v>-551.48</v>
      </c>
      <c r="M15" s="208">
        <f>#N/A</f>
        <v>-1.9800064843834433</v>
      </c>
      <c r="N15" s="164">
        <f>E15-лютий!E15</f>
        <v>120</v>
      </c>
      <c r="O15" s="168">
        <f>F15-лютий!F15</f>
        <v>-380.33000000000004</v>
      </c>
      <c r="P15" s="161">
        <f>#N/A</f>
        <v>-500.33000000000004</v>
      </c>
      <c r="Q15" s="158">
        <f>#N/A</f>
        <v>-316.9416666666667</v>
      </c>
      <c r="R15" s="37"/>
      <c r="S15" s="94"/>
      <c r="T15" s="147">
        <v>-377.2</v>
      </c>
      <c r="U15" s="247">
        <f>#N/A</f>
        <v>-3.1300000000000523</v>
      </c>
      <c r="V15" s="132"/>
      <c r="W15" s="264"/>
    </row>
    <row r="16" spans="1:23" s="6" customFormat="1" ht="18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>#N/A</f>
        <v>0</v>
      </c>
      <c r="H16" s="157" t="e">
        <f>F16/E16/100</f>
        <v>#DIV/0!</v>
      </c>
      <c r="I16" s="37">
        <f>#N/A</f>
        <v>0</v>
      </c>
      <c r="J16" s="37" t="e">
        <f>#N/A</f>
        <v>#DIV/0!</v>
      </c>
      <c r="K16" s="106">
        <v>381.9</v>
      </c>
      <c r="L16" s="161">
        <f>#N/A</f>
        <v>-381.9</v>
      </c>
      <c r="M16" s="208">
        <f>#N/A</f>
        <v>0</v>
      </c>
      <c r="N16" s="164">
        <f>E16-лютий!E16</f>
        <v>0</v>
      </c>
      <c r="O16" s="168">
        <f>F16-лютий!F16</f>
        <v>0</v>
      </c>
      <c r="P16" s="36">
        <f>#N/A</f>
        <v>0</v>
      </c>
      <c r="Q16" s="158" t="e">
        <f>#N/A</f>
        <v>#DIV/0!</v>
      </c>
      <c r="R16" s="104">
        <f>O16-358.81</f>
        <v>-358.81</v>
      </c>
      <c r="S16" s="109">
        <f>O16/358.79</f>
        <v>0</v>
      </c>
      <c r="T16" s="147"/>
      <c r="U16" s="247">
        <f>#N/A</f>
        <v>0</v>
      </c>
      <c r="V16" s="132"/>
      <c r="W16" s="264"/>
    </row>
    <row r="17" spans="1:23" s="6" customFormat="1" ht="30.75" hidden="1">
      <c r="A17" s="8"/>
      <c r="B17" s="232" t="s">
        <v>116</v>
      </c>
      <c r="C17" s="120">
        <v>13010200</v>
      </c>
      <c r="D17" s="162">
        <v>0</v>
      </c>
      <c r="E17" s="162">
        <v>0</v>
      </c>
      <c r="F17" s="163">
        <v>0</v>
      </c>
      <c r="G17" s="162">
        <f>#N/A</f>
        <v>0</v>
      </c>
      <c r="H17" s="157" t="e">
        <f>F17/E17/100</f>
        <v>#DIV/0!</v>
      </c>
      <c r="I17" s="165">
        <f>#N/A</f>
        <v>0</v>
      </c>
      <c r="J17" s="165"/>
      <c r="K17" s="167">
        <v>0.14</v>
      </c>
      <c r="L17" s="161">
        <f>#N/A</f>
        <v>-0.14</v>
      </c>
      <c r="M17" s="208">
        <f>#N/A</f>
        <v>0</v>
      </c>
      <c r="N17" s="164">
        <f>E17-лютий!E17</f>
        <v>0</v>
      </c>
      <c r="O17" s="168">
        <f>F17-лютий!F17</f>
        <v>0</v>
      </c>
      <c r="P17" s="167">
        <f>#N/A</f>
        <v>0</v>
      </c>
      <c r="Q17" s="158" t="e">
        <f>#N/A</f>
        <v>#DIV/0!</v>
      </c>
      <c r="R17" s="104"/>
      <c r="S17" s="109"/>
      <c r="T17" s="147"/>
      <c r="U17" s="247">
        <f>#N/A</f>
        <v>0</v>
      </c>
      <c r="V17" s="132"/>
      <c r="W17" s="264"/>
    </row>
    <row r="18" spans="1:23" s="6" customFormat="1" ht="30.75">
      <c r="A18" s="8"/>
      <c r="B18" s="13" t="s">
        <v>117</v>
      </c>
      <c r="C18" s="43">
        <v>13030200</v>
      </c>
      <c r="D18" s="150">
        <v>125</v>
      </c>
      <c r="E18" s="150">
        <v>70</v>
      </c>
      <c r="F18" s="156">
        <v>118.46</v>
      </c>
      <c r="G18" s="150">
        <f>#N/A</f>
        <v>48.459999999999994</v>
      </c>
      <c r="H18" s="157">
        <f>F18/E18*100</f>
        <v>169.22857142857143</v>
      </c>
      <c r="I18" s="158">
        <f>#N/A</f>
        <v>-6.540000000000006</v>
      </c>
      <c r="J18" s="158">
        <f>#N/A</f>
        <v>94.768</v>
      </c>
      <c r="K18" s="161">
        <v>105.8</v>
      </c>
      <c r="L18" s="161">
        <f>#N/A</f>
        <v>12.659999999999997</v>
      </c>
      <c r="M18" s="208">
        <f>#N/A</f>
        <v>1.1196597353497164</v>
      </c>
      <c r="N18" s="164">
        <f>E18-лютий!E18</f>
        <v>0</v>
      </c>
      <c r="O18" s="168">
        <f>F18-лютий!F18</f>
        <v>0</v>
      </c>
      <c r="P18" s="161">
        <f>#N/A</f>
        <v>0</v>
      </c>
      <c r="Q18" s="158"/>
      <c r="R18" s="37"/>
      <c r="S18" s="94"/>
      <c r="T18" s="147"/>
      <c r="U18" s="247"/>
      <c r="V18" s="132"/>
      <c r="W18" s="264"/>
    </row>
    <row r="19" spans="1:23" s="6" customFormat="1" ht="18">
      <c r="A19" s="8"/>
      <c r="B19" s="13" t="s">
        <v>172</v>
      </c>
      <c r="C19" s="43"/>
      <c r="D19" s="150">
        <f>D20+D21+D22</f>
        <v>130000</v>
      </c>
      <c r="E19" s="150">
        <f>E20+E21+E22</f>
        <v>27800</v>
      </c>
      <c r="F19" s="156">
        <v>27633.86</v>
      </c>
      <c r="G19" s="162">
        <f>#N/A</f>
        <v>-166.13999999999942</v>
      </c>
      <c r="H19" s="164">
        <f>#N/A</f>
        <v>99.40237410071943</v>
      </c>
      <c r="I19" s="165">
        <f>#N/A</f>
        <v>-102366.14</v>
      </c>
      <c r="J19" s="165">
        <f>#N/A</f>
        <v>21.256815384615386</v>
      </c>
      <c r="K19" s="161">
        <v>18270.9</v>
      </c>
      <c r="L19" s="167">
        <f>#N/A</f>
        <v>9362.96</v>
      </c>
      <c r="M19" s="213">
        <f>#N/A</f>
        <v>1.5124520412240228</v>
      </c>
      <c r="N19" s="164">
        <f>N20+N21+N22</f>
        <v>9800</v>
      </c>
      <c r="O19" s="168">
        <f>O20+O21+O22</f>
        <v>13927.95</v>
      </c>
      <c r="P19" s="167">
        <f>#N/A</f>
        <v>4127.950000000001</v>
      </c>
      <c r="Q19" s="165">
        <f>#N/A</f>
        <v>142.12193877551022</v>
      </c>
      <c r="R19" s="37"/>
      <c r="S19" s="94"/>
      <c r="T19" s="147"/>
      <c r="U19" s="247"/>
      <c r="V19" s="132"/>
      <c r="W19" s="264"/>
    </row>
    <row r="20" spans="1:23" s="6" customFormat="1" ht="61.5">
      <c r="A20" s="8"/>
      <c r="B20" s="252" t="s">
        <v>205</v>
      </c>
      <c r="C20" s="123">
        <v>14040000</v>
      </c>
      <c r="D20" s="253">
        <v>130000</v>
      </c>
      <c r="E20" s="253">
        <v>27800</v>
      </c>
      <c r="F20" s="201">
        <v>17734.06</v>
      </c>
      <c r="G20" s="253">
        <f>#N/A</f>
        <v>-10065.939999999999</v>
      </c>
      <c r="H20" s="195">
        <f>#N/A</f>
        <v>63.79158273381296</v>
      </c>
      <c r="I20" s="254">
        <f>#N/A</f>
        <v>-112265.94</v>
      </c>
      <c r="J20" s="254">
        <f>#N/A</f>
        <v>13.641584615384616</v>
      </c>
      <c r="K20" s="255">
        <v>18270.89</v>
      </c>
      <c r="L20" s="166">
        <f>#N/A</f>
        <v>-536.8299999999981</v>
      </c>
      <c r="M20" s="256">
        <f>#N/A</f>
        <v>0.9706182895305047</v>
      </c>
      <c r="N20" s="195">
        <f>E20-лютий!E19</f>
        <v>9800</v>
      </c>
      <c r="O20" s="179">
        <f>F20-лютий!F19</f>
        <v>4028.1500000000015</v>
      </c>
      <c r="P20" s="166">
        <f>#N/A</f>
        <v>-5771.8499999999985</v>
      </c>
      <c r="Q20" s="254">
        <f>#N/A</f>
        <v>41.10357142857144</v>
      </c>
      <c r="R20" s="107"/>
      <c r="S20" s="108"/>
      <c r="T20" s="257">
        <v>4250</v>
      </c>
      <c r="U20" s="258">
        <f>#N/A</f>
        <v>-221.84999999999854</v>
      </c>
      <c r="V20" s="262">
        <v>17955.9</v>
      </c>
      <c r="W20" s="265">
        <f>F20-V20</f>
        <v>-221.84000000000015</v>
      </c>
    </row>
    <row r="21" spans="1:23" s="6" customFormat="1" ht="18">
      <c r="A21" s="8"/>
      <c r="B21" s="252" t="s">
        <v>170</v>
      </c>
      <c r="C21" s="123">
        <v>14021900</v>
      </c>
      <c r="D21" s="253">
        <v>0</v>
      </c>
      <c r="E21" s="253">
        <v>0</v>
      </c>
      <c r="F21" s="201">
        <v>2236.79</v>
      </c>
      <c r="G21" s="253">
        <f>#N/A</f>
        <v>2236.79</v>
      </c>
      <c r="H21" s="195"/>
      <c r="I21" s="254">
        <f>#N/A</f>
        <v>2236.79</v>
      </c>
      <c r="J21" s="254"/>
      <c r="K21" s="255">
        <v>0</v>
      </c>
      <c r="L21" s="166">
        <f>#N/A</f>
        <v>2236.79</v>
      </c>
      <c r="M21" s="256"/>
      <c r="N21" s="195">
        <v>0</v>
      </c>
      <c r="O21" s="179">
        <f>F21</f>
        <v>2236.79</v>
      </c>
      <c r="P21" s="166"/>
      <c r="Q21" s="254"/>
      <c r="R21" s="107"/>
      <c r="S21" s="108"/>
      <c r="T21" s="257"/>
      <c r="U21" s="258"/>
      <c r="V21" s="262"/>
      <c r="W21" s="264"/>
    </row>
    <row r="22" spans="1:23" s="6" customFormat="1" ht="18">
      <c r="A22" s="8"/>
      <c r="B22" s="252" t="s">
        <v>171</v>
      </c>
      <c r="C22" s="123">
        <v>14031900</v>
      </c>
      <c r="D22" s="253">
        <v>0</v>
      </c>
      <c r="E22" s="253">
        <v>0</v>
      </c>
      <c r="F22" s="201">
        <v>7663.01</v>
      </c>
      <c r="G22" s="253">
        <f>#N/A</f>
        <v>7663.01</v>
      </c>
      <c r="H22" s="195"/>
      <c r="I22" s="254">
        <f>#N/A</f>
        <v>7663.01</v>
      </c>
      <c r="J22" s="254"/>
      <c r="K22" s="255">
        <v>0</v>
      </c>
      <c r="L22" s="166">
        <f>#N/A</f>
        <v>7663.01</v>
      </c>
      <c r="M22" s="256"/>
      <c r="N22" s="195">
        <v>0</v>
      </c>
      <c r="O22" s="179">
        <f>F22</f>
        <v>7663.01</v>
      </c>
      <c r="P22" s="166"/>
      <c r="Q22" s="254"/>
      <c r="R22" s="107"/>
      <c r="S22" s="108"/>
      <c r="T22" s="257"/>
      <c r="U22" s="258"/>
      <c r="V22" s="262"/>
      <c r="W22" s="264"/>
    </row>
    <row r="23" spans="1:23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102638.5</v>
      </c>
      <c r="F23" s="223">
        <f>F24+F32+F33+F34+F35</f>
        <v>103972.56</v>
      </c>
      <c r="G23" s="150">
        <f>#N/A</f>
        <v>1334.0599999999977</v>
      </c>
      <c r="H23" s="157">
        <f>#N/A</f>
        <v>101.29976568246808</v>
      </c>
      <c r="I23" s="158">
        <f>#N/A</f>
        <v>-297157.54</v>
      </c>
      <c r="J23" s="158">
        <f>#N/A</f>
        <v>25.91990977490844</v>
      </c>
      <c r="K23" s="158">
        <v>78944.09</v>
      </c>
      <c r="L23" s="161">
        <f>#N/A</f>
        <v>25028.47</v>
      </c>
      <c r="M23" s="209">
        <f>#N/A</f>
        <v>1.3170404522998491</v>
      </c>
      <c r="N23" s="157">
        <f>E23-лютий!E20</f>
        <v>26714</v>
      </c>
      <c r="O23" s="160">
        <f>F23-лютий!F20</f>
        <v>24865.309999999998</v>
      </c>
      <c r="P23" s="161">
        <f>#N/A</f>
        <v>-1848.6900000000023</v>
      </c>
      <c r="Q23" s="158">
        <f>#N/A</f>
        <v>93.07969603952982</v>
      </c>
      <c r="R23" s="107"/>
      <c r="S23" s="108"/>
      <c r="T23" s="147"/>
      <c r="U23" s="247"/>
      <c r="V23" s="132"/>
      <c r="W23" s="264"/>
    </row>
    <row r="24" spans="1:23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47840.8</v>
      </c>
      <c r="F24" s="170">
        <f>F25+F28+F29</f>
        <v>48563.36</v>
      </c>
      <c r="G24" s="150">
        <f>#N/A</f>
        <v>722.5599999999977</v>
      </c>
      <c r="H24" s="157">
        <f>#N/A</f>
        <v>101.51034263641077</v>
      </c>
      <c r="I24" s="158">
        <f>#N/A</f>
        <v>-158057.64</v>
      </c>
      <c r="J24" s="158">
        <f>#N/A</f>
        <v>23.50359353599102</v>
      </c>
      <c r="K24" s="158">
        <v>40388.11</v>
      </c>
      <c r="L24" s="161">
        <f>#N/A</f>
        <v>8175.25</v>
      </c>
      <c r="M24" s="209">
        <f>#N/A</f>
        <v>1.2024172460657356</v>
      </c>
      <c r="N24" s="157">
        <f>E24-лютий!E21</f>
        <v>15760.000000000004</v>
      </c>
      <c r="O24" s="160">
        <f>F24-лютий!F21</f>
        <v>17108.31</v>
      </c>
      <c r="P24" s="161">
        <f>#N/A</f>
        <v>1348.3099999999977</v>
      </c>
      <c r="Q24" s="158">
        <f>#N/A</f>
        <v>108.55526649746193</v>
      </c>
      <c r="R24" s="107"/>
      <c r="S24" s="108"/>
      <c r="T24" s="147"/>
      <c r="U24" s="247"/>
      <c r="V24" s="132"/>
      <c r="W24" s="264"/>
    </row>
    <row r="25" spans="1:23" s="6" customFormat="1" ht="18">
      <c r="A25" s="8"/>
      <c r="B25" s="50" t="s">
        <v>74</v>
      </c>
      <c r="C25" s="123"/>
      <c r="D25" s="171">
        <v>22809</v>
      </c>
      <c r="E25" s="171">
        <v>4950</v>
      </c>
      <c r="F25" s="172">
        <v>5213.94</v>
      </c>
      <c r="G25" s="171">
        <f>#N/A</f>
        <v>263.9399999999996</v>
      </c>
      <c r="H25" s="173">
        <f>#N/A</f>
        <v>105.33212121212121</v>
      </c>
      <c r="I25" s="174">
        <f>#N/A</f>
        <v>-17595.06</v>
      </c>
      <c r="J25" s="174">
        <f>#N/A</f>
        <v>22.859134552150465</v>
      </c>
      <c r="K25" s="175">
        <v>4194.89</v>
      </c>
      <c r="L25" s="166">
        <f>#N/A</f>
        <v>1019.0499999999993</v>
      </c>
      <c r="M25" s="215">
        <f>#N/A</f>
        <v>1.2429265129717344</v>
      </c>
      <c r="N25" s="195">
        <f>E25-лютий!E22</f>
        <v>575</v>
      </c>
      <c r="O25" s="179">
        <f>F25-лютий!F22</f>
        <v>805.7299999999996</v>
      </c>
      <c r="P25" s="177">
        <f>#N/A</f>
        <v>230.72999999999956</v>
      </c>
      <c r="Q25" s="174">
        <f>#N/A</f>
        <v>140.12695652173906</v>
      </c>
      <c r="R25" s="107"/>
      <c r="S25" s="108"/>
      <c r="T25" s="147">
        <v>374</v>
      </c>
      <c r="U25" s="247">
        <f>#N/A</f>
        <v>431.72999999999956</v>
      </c>
      <c r="V25" s="132"/>
      <c r="W25" s="264"/>
    </row>
    <row r="26" spans="1:23" s="6" customFormat="1" ht="18" hidden="1">
      <c r="A26" s="8"/>
      <c r="B26" s="196" t="s">
        <v>109</v>
      </c>
      <c r="C26" s="197"/>
      <c r="D26" s="198">
        <v>1822.3</v>
      </c>
      <c r="E26" s="198">
        <v>250</v>
      </c>
      <c r="F26" s="163">
        <v>157.07</v>
      </c>
      <c r="G26" s="198">
        <f>#N/A</f>
        <v>-92.93</v>
      </c>
      <c r="H26" s="199">
        <f>#N/A</f>
        <v>62.827999999999996</v>
      </c>
      <c r="I26" s="200">
        <f>#N/A</f>
        <v>-1665.23</v>
      </c>
      <c r="J26" s="200">
        <f>#N/A</f>
        <v>8.619327223838006</v>
      </c>
      <c r="K26" s="200">
        <v>156.42</v>
      </c>
      <c r="L26" s="200">
        <f>#N/A</f>
        <v>0.6500000000000057</v>
      </c>
      <c r="M26" s="228">
        <f>#N/A</f>
        <v>1.0041554788390232</v>
      </c>
      <c r="N26" s="237">
        <f>E26-лютий!E23</f>
        <v>55</v>
      </c>
      <c r="O26" s="237">
        <f>F26-лютий!F23</f>
        <v>6.840000000000003</v>
      </c>
      <c r="P26" s="200">
        <f>#N/A</f>
        <v>-48.16</v>
      </c>
      <c r="Q26" s="200">
        <f>#N/A</f>
        <v>12.436363636363643</v>
      </c>
      <c r="R26" s="107"/>
      <c r="S26" s="108"/>
      <c r="T26" s="147"/>
      <c r="U26" s="247">
        <f>#N/A</f>
        <v>6.840000000000003</v>
      </c>
      <c r="V26" s="132"/>
      <c r="W26" s="264"/>
    </row>
    <row r="27" spans="1:23" s="6" customFormat="1" ht="18" hidden="1">
      <c r="A27" s="8"/>
      <c r="B27" s="196" t="s">
        <v>110</v>
      </c>
      <c r="C27" s="197"/>
      <c r="D27" s="198">
        <v>20986.7</v>
      </c>
      <c r="E27" s="198">
        <v>4700</v>
      </c>
      <c r="F27" s="163">
        <v>5056.87</v>
      </c>
      <c r="G27" s="198">
        <f>#N/A</f>
        <v>356.8699999999999</v>
      </c>
      <c r="H27" s="199">
        <f>#N/A</f>
        <v>107.59297872340426</v>
      </c>
      <c r="I27" s="200">
        <f>#N/A</f>
        <v>-15929.830000000002</v>
      </c>
      <c r="J27" s="200">
        <f>#N/A</f>
        <v>24.095593876121544</v>
      </c>
      <c r="K27" s="200">
        <v>4038.47</v>
      </c>
      <c r="L27" s="200">
        <f>#N/A</f>
        <v>1018.4000000000001</v>
      </c>
      <c r="M27" s="228">
        <f>#N/A</f>
        <v>1.2521747097291795</v>
      </c>
      <c r="N27" s="237">
        <f>E27-лютий!E24</f>
        <v>520</v>
      </c>
      <c r="O27" s="237">
        <f>F27-лютий!F24</f>
        <v>798.8900000000003</v>
      </c>
      <c r="P27" s="200">
        <f>#N/A</f>
        <v>278.8900000000003</v>
      </c>
      <c r="Q27" s="200">
        <f>#N/A</f>
        <v>153.63269230769237</v>
      </c>
      <c r="R27" s="107"/>
      <c r="S27" s="108"/>
      <c r="T27" s="147"/>
      <c r="U27" s="247">
        <f>#N/A</f>
        <v>798.8900000000003</v>
      </c>
      <c r="V27" s="132"/>
      <c r="W27" s="264"/>
    </row>
    <row r="28" spans="1:23" s="6" customFormat="1" ht="18">
      <c r="A28" s="8"/>
      <c r="B28" s="50" t="s">
        <v>75</v>
      </c>
      <c r="C28" s="123"/>
      <c r="D28" s="171">
        <v>820</v>
      </c>
      <c r="E28" s="171">
        <v>55.8</v>
      </c>
      <c r="F28" s="172">
        <v>31.25</v>
      </c>
      <c r="G28" s="171">
        <f>#N/A</f>
        <v>-24.549999999999997</v>
      </c>
      <c r="H28" s="173">
        <f>#N/A</f>
        <v>56.00358422939068</v>
      </c>
      <c r="I28" s="174">
        <f>#N/A</f>
        <v>-788.75</v>
      </c>
      <c r="J28" s="174">
        <f>#N/A</f>
        <v>3.8109756097560976</v>
      </c>
      <c r="K28" s="174">
        <v>313.88</v>
      </c>
      <c r="L28" s="174">
        <f>#N/A</f>
        <v>-282.63</v>
      </c>
      <c r="M28" s="212">
        <f>#N/A</f>
        <v>0.09956034153179559</v>
      </c>
      <c r="N28" s="195">
        <f>E28-лютий!E25</f>
        <v>5</v>
      </c>
      <c r="O28" s="179">
        <f>F28-лютий!F25</f>
        <v>-47.92</v>
      </c>
      <c r="P28" s="177">
        <f>#N/A</f>
        <v>-52.92</v>
      </c>
      <c r="Q28" s="174">
        <f>O28/N28*100</f>
        <v>-958.4</v>
      </c>
      <c r="R28" s="107"/>
      <c r="S28" s="108"/>
      <c r="T28" s="147">
        <v>0</v>
      </c>
      <c r="U28" s="247">
        <f>#N/A</f>
        <v>-47.92</v>
      </c>
      <c r="V28" s="132"/>
      <c r="W28" s="264"/>
    </row>
    <row r="29" spans="1:23" s="6" customFormat="1" ht="18">
      <c r="A29" s="8"/>
      <c r="B29" s="50" t="s">
        <v>76</v>
      </c>
      <c r="C29" s="123"/>
      <c r="D29" s="171">
        <v>182992</v>
      </c>
      <c r="E29" s="171">
        <v>42835</v>
      </c>
      <c r="F29" s="172">
        <v>43318.17</v>
      </c>
      <c r="G29" s="171">
        <f>#N/A</f>
        <v>483.16999999999825</v>
      </c>
      <c r="H29" s="173">
        <f>#N/A</f>
        <v>101.1279794560523</v>
      </c>
      <c r="I29" s="174">
        <f>#N/A</f>
        <v>-139673.83000000002</v>
      </c>
      <c r="J29" s="174">
        <f>#N/A</f>
        <v>23.672165996327706</v>
      </c>
      <c r="K29" s="175">
        <v>35879.34</v>
      </c>
      <c r="L29" s="175">
        <f>#N/A</f>
        <v>7438.830000000002</v>
      </c>
      <c r="M29" s="211">
        <f>#N/A</f>
        <v>1.2073290645814556</v>
      </c>
      <c r="N29" s="195">
        <f>E29-лютий!E26</f>
        <v>15180</v>
      </c>
      <c r="O29" s="179">
        <f>F29-лютий!F26</f>
        <v>16350.5</v>
      </c>
      <c r="P29" s="177">
        <f>#N/A</f>
        <v>1170.5</v>
      </c>
      <c r="Q29" s="174">
        <f>O29/N29*100</f>
        <v>107.71080368906456</v>
      </c>
      <c r="R29" s="107"/>
      <c r="S29" s="108"/>
      <c r="T29" s="147">
        <v>15224</v>
      </c>
      <c r="U29" s="247">
        <f>#N/A</f>
        <v>1126.5</v>
      </c>
      <c r="V29" s="132">
        <v>42191.7</v>
      </c>
      <c r="W29" s="265">
        <f>F29-V29</f>
        <v>1126.4700000000012</v>
      </c>
    </row>
    <row r="30" spans="1:23" s="6" customFormat="1" ht="18" hidden="1">
      <c r="A30" s="8"/>
      <c r="B30" s="196" t="s">
        <v>111</v>
      </c>
      <c r="C30" s="197"/>
      <c r="D30" s="198">
        <v>57533</v>
      </c>
      <c r="E30" s="198">
        <v>12830</v>
      </c>
      <c r="F30" s="163">
        <v>14435.44</v>
      </c>
      <c r="G30" s="198">
        <f>#N/A</f>
        <v>1605.4400000000005</v>
      </c>
      <c r="H30" s="199">
        <f>#N/A</f>
        <v>112.51317225253312</v>
      </c>
      <c r="I30" s="200">
        <f>#N/A</f>
        <v>-43097.56</v>
      </c>
      <c r="J30" s="200">
        <f>#N/A</f>
        <v>25.0907131559279</v>
      </c>
      <c r="K30" s="200">
        <v>10893.12</v>
      </c>
      <c r="L30" s="200">
        <f>#N/A</f>
        <v>3542.3199999999997</v>
      </c>
      <c r="M30" s="228">
        <f>#N/A</f>
        <v>1.3251887429863987</v>
      </c>
      <c r="N30" s="237">
        <f>E30-лютий!E27</f>
        <v>4650</v>
      </c>
      <c r="O30" s="237">
        <f>F30-лютий!F27</f>
        <v>5576.230000000001</v>
      </c>
      <c r="P30" s="200">
        <f>#N/A</f>
        <v>926.2300000000014</v>
      </c>
      <c r="Q30" s="200">
        <f>O30/N30*100</f>
        <v>119.91892473118281</v>
      </c>
      <c r="R30" s="107"/>
      <c r="S30" s="108"/>
      <c r="T30" s="147"/>
      <c r="U30" s="247">
        <f>#N/A</f>
        <v>5576.230000000001</v>
      </c>
      <c r="V30" s="132"/>
      <c r="W30" s="264"/>
    </row>
    <row r="31" spans="1:23" s="6" customFormat="1" ht="18" hidden="1">
      <c r="A31" s="8"/>
      <c r="B31" s="196" t="s">
        <v>112</v>
      </c>
      <c r="C31" s="197"/>
      <c r="D31" s="198">
        <v>125459</v>
      </c>
      <c r="E31" s="198">
        <v>30005</v>
      </c>
      <c r="F31" s="163">
        <v>28882.73</v>
      </c>
      <c r="G31" s="198">
        <f>#N/A</f>
        <v>-1122.2700000000004</v>
      </c>
      <c r="H31" s="199">
        <f>#N/A</f>
        <v>96.25972337943676</v>
      </c>
      <c r="I31" s="200">
        <f>#N/A</f>
        <v>-96576.27</v>
      </c>
      <c r="J31" s="200">
        <f>#N/A</f>
        <v>23.02164850668346</v>
      </c>
      <c r="K31" s="200">
        <v>24986.12</v>
      </c>
      <c r="L31" s="200">
        <f>#N/A</f>
        <v>3896.6100000000006</v>
      </c>
      <c r="M31" s="228">
        <f>#N/A</f>
        <v>1.1559509839863091</v>
      </c>
      <c r="N31" s="237">
        <f>E31-лютий!E28</f>
        <v>10530</v>
      </c>
      <c r="O31" s="237">
        <f>F31-лютий!F28</f>
        <v>10774.27</v>
      </c>
      <c r="P31" s="200">
        <f>#N/A</f>
        <v>244.27000000000044</v>
      </c>
      <c r="Q31" s="200">
        <f>O31/N31*100</f>
        <v>102.31975308641977</v>
      </c>
      <c r="R31" s="107"/>
      <c r="S31" s="108"/>
      <c r="T31" s="147"/>
      <c r="U31" s="247">
        <f>#N/A</f>
        <v>10774.27</v>
      </c>
      <c r="V31" s="132"/>
      <c r="W31" s="264"/>
    </row>
    <row r="32" spans="1:23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>#N/A</f>
        <v>0.2</v>
      </c>
      <c r="H32" s="157"/>
      <c r="I32" s="158">
        <f>#N/A</f>
        <v>0.2</v>
      </c>
      <c r="J32" s="158"/>
      <c r="K32" s="167">
        <v>0</v>
      </c>
      <c r="L32" s="158">
        <f>#N/A</f>
        <v>0.2</v>
      </c>
      <c r="M32" s="210"/>
      <c r="N32" s="157">
        <f>E32-лютий!E29</f>
        <v>0</v>
      </c>
      <c r="O32" s="160">
        <f>F32-лютий!F29</f>
        <v>0</v>
      </c>
      <c r="P32" s="161">
        <f>#N/A</f>
        <v>0</v>
      </c>
      <c r="Q32" s="158"/>
      <c r="R32" s="107"/>
      <c r="S32" s="108"/>
      <c r="T32" s="147"/>
      <c r="U32" s="247"/>
      <c r="V32" s="132"/>
      <c r="W32" s="264"/>
    </row>
    <row r="33" spans="1:23" s="6" customFormat="1" ht="18">
      <c r="A33" s="8"/>
      <c r="B33" s="44" t="s">
        <v>82</v>
      </c>
      <c r="C33" s="114">
        <v>18030000</v>
      </c>
      <c r="D33" s="150">
        <v>115</v>
      </c>
      <c r="E33" s="150">
        <v>19</v>
      </c>
      <c r="F33" s="156">
        <v>37.2</v>
      </c>
      <c r="G33" s="150">
        <f>#N/A</f>
        <v>18.200000000000003</v>
      </c>
      <c r="H33" s="157">
        <f>#N/A</f>
        <v>195.78947368421055</v>
      </c>
      <c r="I33" s="158">
        <f>#N/A</f>
        <v>-77.8</v>
      </c>
      <c r="J33" s="158">
        <f>#N/A</f>
        <v>32.34782608695652</v>
      </c>
      <c r="K33" s="158">
        <v>24.81</v>
      </c>
      <c r="L33" s="158">
        <f>#N/A</f>
        <v>12.390000000000004</v>
      </c>
      <c r="M33" s="210">
        <f>F33/K33</f>
        <v>1.4993954050785976</v>
      </c>
      <c r="N33" s="157">
        <f>E33-лютий!E30</f>
        <v>4</v>
      </c>
      <c r="O33" s="160">
        <f>F33-лютий!F30</f>
        <v>3</v>
      </c>
      <c r="P33" s="161">
        <f>#N/A</f>
        <v>-1</v>
      </c>
      <c r="Q33" s="158">
        <f>O33/N33*100</f>
        <v>75</v>
      </c>
      <c r="R33" s="107"/>
      <c r="S33" s="108"/>
      <c r="T33" s="147">
        <v>4.5</v>
      </c>
      <c r="U33" s="247"/>
      <c r="V33" s="132"/>
      <c r="W33" s="264"/>
    </row>
    <row r="34" spans="1:23" s="6" customFormat="1" ht="30.75">
      <c r="A34" s="8"/>
      <c r="B34" s="225" t="s">
        <v>83</v>
      </c>
      <c r="C34" s="114">
        <v>18040000</v>
      </c>
      <c r="D34" s="150"/>
      <c r="E34" s="150"/>
      <c r="F34" s="156">
        <v>-24.82</v>
      </c>
      <c r="G34" s="150">
        <f>#N/A</f>
        <v>-24.82</v>
      </c>
      <c r="H34" s="157"/>
      <c r="I34" s="158">
        <f>#N/A</f>
        <v>-24.82</v>
      </c>
      <c r="J34" s="158"/>
      <c r="K34" s="158">
        <v>-81.54</v>
      </c>
      <c r="L34" s="158">
        <f>#N/A</f>
        <v>56.720000000000006</v>
      </c>
      <c r="M34" s="210">
        <f>F34/K34</f>
        <v>0.3043904831984302</v>
      </c>
      <c r="N34" s="157">
        <f>E34-лютий!E31</f>
        <v>0</v>
      </c>
      <c r="O34" s="160">
        <f>F34-лютий!F31</f>
        <v>-14.06</v>
      </c>
      <c r="P34" s="161">
        <f>#N/A</f>
        <v>-14.06</v>
      </c>
      <c r="Q34" s="158" t="e">
        <f>O34/N34*100</f>
        <v>#DIV/0!</v>
      </c>
      <c r="R34" s="107"/>
      <c r="S34" s="108"/>
      <c r="T34" s="147"/>
      <c r="U34" s="247"/>
      <c r="V34" s="132"/>
      <c r="W34" s="264"/>
    </row>
    <row r="35" spans="1:23" s="6" customFormat="1" ht="18">
      <c r="A35" s="8"/>
      <c r="B35" s="44" t="s">
        <v>84</v>
      </c>
      <c r="C35" s="114">
        <v>18050000</v>
      </c>
      <c r="D35" s="162">
        <v>194394.1</v>
      </c>
      <c r="E35" s="162">
        <f>50378.7+240+4160</f>
        <v>54778.7</v>
      </c>
      <c r="F35" s="163">
        <v>55396.62</v>
      </c>
      <c r="G35" s="162">
        <f>#N/A</f>
        <v>617.9200000000055</v>
      </c>
      <c r="H35" s="164">
        <f>#N/A</f>
        <v>101.12802969037236</v>
      </c>
      <c r="I35" s="165">
        <f>#N/A</f>
        <v>-138997.48</v>
      </c>
      <c r="J35" s="165">
        <f>#N/A</f>
        <v>28.49706858387163</v>
      </c>
      <c r="K35" s="178">
        <v>38612.71</v>
      </c>
      <c r="L35" s="178">
        <f>F35-K35</f>
        <v>16783.910000000003</v>
      </c>
      <c r="M35" s="226">
        <f>F35/K35</f>
        <v>1.434673194396353</v>
      </c>
      <c r="N35" s="157">
        <f>E35-лютий!E32</f>
        <v>10950</v>
      </c>
      <c r="O35" s="160">
        <f>F35-лютий!F32</f>
        <v>7768.060000000005</v>
      </c>
      <c r="P35" s="167">
        <f>#N/A</f>
        <v>-3181.939999999995</v>
      </c>
      <c r="Q35" s="165">
        <f>O35/N35*100</f>
        <v>70.94118721461193</v>
      </c>
      <c r="R35" s="107"/>
      <c r="S35" s="108"/>
      <c r="T35" s="147">
        <v>6650</v>
      </c>
      <c r="U35" s="247">
        <f>#N/A</f>
        <v>1118.060000000005</v>
      </c>
      <c r="V35" s="132"/>
      <c r="W35" s="264"/>
    </row>
    <row r="36" spans="1:23" s="6" customFormat="1" ht="15" hidden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</v>
      </c>
      <c r="G36" s="103">
        <f>#N/A</f>
        <v>0</v>
      </c>
      <c r="H36" s="105"/>
      <c r="I36" s="104">
        <f>#N/A</f>
        <v>0</v>
      </c>
      <c r="J36" s="104"/>
      <c r="K36" s="127">
        <v>0.16</v>
      </c>
      <c r="L36" s="127">
        <f>#N/A</f>
        <v>-0.16</v>
      </c>
      <c r="M36" s="216">
        <f>#N/A</f>
        <v>0</v>
      </c>
      <c r="N36" s="105">
        <f>E36-лютий!E33</f>
        <v>0</v>
      </c>
      <c r="O36" s="144">
        <f>F36-лютий!F33</f>
        <v>0</v>
      </c>
      <c r="P36" s="106">
        <f>#N/A</f>
        <v>0</v>
      </c>
      <c r="Q36" s="104"/>
      <c r="R36" s="107"/>
      <c r="S36" s="108"/>
      <c r="T36" s="147"/>
      <c r="U36" s="247">
        <f>#N/A</f>
        <v>0</v>
      </c>
      <c r="V36" s="132"/>
      <c r="W36" s="264"/>
    </row>
    <row r="37" spans="1:23" s="6" customFormat="1" ht="15" hidden="1">
      <c r="A37" s="8"/>
      <c r="B37" s="50" t="s">
        <v>91</v>
      </c>
      <c r="C37" s="102">
        <v>18050300</v>
      </c>
      <c r="D37" s="103">
        <v>41000</v>
      </c>
      <c r="E37" s="103">
        <f>10160+240</f>
        <v>10400</v>
      </c>
      <c r="F37" s="140">
        <v>10947.92</v>
      </c>
      <c r="G37" s="103">
        <f>#N/A</f>
        <v>547.9200000000001</v>
      </c>
      <c r="H37" s="105">
        <f>#N/A</f>
        <v>105.26846153846154</v>
      </c>
      <c r="I37" s="104">
        <f>#N/A</f>
        <v>-30052.08</v>
      </c>
      <c r="J37" s="104">
        <f>#N/A</f>
        <v>26.702243902439026</v>
      </c>
      <c r="K37" s="127">
        <v>9812.49</v>
      </c>
      <c r="L37" s="127">
        <f>#N/A</f>
        <v>1135.4300000000003</v>
      </c>
      <c r="M37" s="216">
        <f>#N/A</f>
        <v>1.1157127293887688</v>
      </c>
      <c r="N37" s="105">
        <f>E37-лютий!E34</f>
        <v>1290</v>
      </c>
      <c r="O37" s="144">
        <f>F37-лютий!F34</f>
        <v>1191.9699999999993</v>
      </c>
      <c r="P37" s="106">
        <f>#N/A</f>
        <v>-98.03000000000065</v>
      </c>
      <c r="Q37" s="104">
        <f>O37/N37*100</f>
        <v>92.4007751937984</v>
      </c>
      <c r="R37" s="107"/>
      <c r="S37" s="108"/>
      <c r="T37" s="147"/>
      <c r="U37" s="247">
        <f>#N/A</f>
        <v>1191.9699999999993</v>
      </c>
      <c r="V37" s="132"/>
      <c r="W37" s="264"/>
    </row>
    <row r="38" spans="1:23" s="6" customFormat="1" ht="15" hidden="1">
      <c r="A38" s="8"/>
      <c r="B38" s="50" t="s">
        <v>92</v>
      </c>
      <c r="C38" s="102">
        <v>18050400</v>
      </c>
      <c r="D38" s="103">
        <v>153339.1</v>
      </c>
      <c r="E38" s="103">
        <f>40200+4160</f>
        <v>44360</v>
      </c>
      <c r="F38" s="140">
        <v>44432.58</v>
      </c>
      <c r="G38" s="103">
        <f>#N/A</f>
        <v>72.58000000000175</v>
      </c>
      <c r="H38" s="105">
        <f>#N/A</f>
        <v>100.1636158701533</v>
      </c>
      <c r="I38" s="104">
        <f>#N/A</f>
        <v>-108906.52</v>
      </c>
      <c r="J38" s="104">
        <f>#N/A</f>
        <v>28.97667979008616</v>
      </c>
      <c r="K38" s="127">
        <v>28792.38</v>
      </c>
      <c r="L38" s="127">
        <f>#N/A</f>
        <v>15640.2</v>
      </c>
      <c r="M38" s="216">
        <f>#N/A</f>
        <v>1.5432062233132517</v>
      </c>
      <c r="N38" s="105">
        <f>E38-лютий!E35</f>
        <v>9660</v>
      </c>
      <c r="O38" s="144">
        <f>F38-лютий!F35</f>
        <v>6576.080000000002</v>
      </c>
      <c r="P38" s="106">
        <f>#N/A</f>
        <v>-3083.9199999999983</v>
      </c>
      <c r="Q38" s="104">
        <f>O38/N38*100</f>
        <v>68.07536231884059</v>
      </c>
      <c r="R38" s="107"/>
      <c r="S38" s="108"/>
      <c r="T38" s="147"/>
      <c r="U38" s="247">
        <f>#N/A</f>
        <v>6576.080000000002</v>
      </c>
      <c r="V38" s="132"/>
      <c r="W38" s="264"/>
    </row>
    <row r="39" spans="1:23" s="6" customFormat="1" ht="15" hidden="1">
      <c r="A39" s="8"/>
      <c r="B39" s="50" t="s">
        <v>93</v>
      </c>
      <c r="C39" s="102">
        <v>18050500</v>
      </c>
      <c r="D39" s="103">
        <v>55</v>
      </c>
      <c r="E39" s="103">
        <v>18.7</v>
      </c>
      <c r="F39" s="140">
        <v>16.11</v>
      </c>
      <c r="G39" s="103">
        <f>#N/A</f>
        <v>-2.59</v>
      </c>
      <c r="H39" s="105">
        <f>#N/A</f>
        <v>86.14973262032085</v>
      </c>
      <c r="I39" s="104">
        <f>#N/A</f>
        <v>-38.89</v>
      </c>
      <c r="J39" s="104">
        <f>#N/A</f>
        <v>29.29090909090909</v>
      </c>
      <c r="K39" s="127">
        <v>7.69</v>
      </c>
      <c r="L39" s="127">
        <f>#N/A</f>
        <v>8.419999999999998</v>
      </c>
      <c r="M39" s="216">
        <f>#N/A</f>
        <v>2.094928478543563</v>
      </c>
      <c r="N39" s="105">
        <f>E39-лютий!E36</f>
        <v>0</v>
      </c>
      <c r="O39" s="144">
        <f>F39-лютий!F36</f>
        <v>0</v>
      </c>
      <c r="P39" s="106">
        <f>#N/A</f>
        <v>0</v>
      </c>
      <c r="Q39" s="104"/>
      <c r="R39" s="107"/>
      <c r="S39" s="108"/>
      <c r="T39" s="147"/>
      <c r="U39" s="247">
        <f>#N/A</f>
        <v>0</v>
      </c>
      <c r="V39" s="132"/>
      <c r="W39" s="264"/>
    </row>
    <row r="40" spans="1:23" s="6" customFormat="1" ht="15" customHeight="1" hidden="1">
      <c r="A40" s="8"/>
      <c r="B40" s="232" t="s">
        <v>46</v>
      </c>
      <c r="C40" s="43">
        <v>19010000</v>
      </c>
      <c r="D40" s="34">
        <v>0</v>
      </c>
      <c r="E40" s="34">
        <v>0</v>
      </c>
      <c r="F40" s="34">
        <v>0</v>
      </c>
      <c r="G40" s="34">
        <f>#N/A</f>
        <v>0</v>
      </c>
      <c r="H40" s="30"/>
      <c r="I40" s="37">
        <f>#N/A</f>
        <v>0</v>
      </c>
      <c r="J40" s="37"/>
      <c r="K40" s="119">
        <v>0</v>
      </c>
      <c r="L40" s="119">
        <f>#N/A</f>
        <v>0</v>
      </c>
      <c r="M40" s="217" t="e">
        <f>#N/A</f>
        <v>#DIV/0!</v>
      </c>
      <c r="N40" s="157">
        <f>E40-лютий!E37</f>
        <v>0</v>
      </c>
      <c r="O40" s="160">
        <f>F40-лютий!F37</f>
        <v>0</v>
      </c>
      <c r="P40" s="36">
        <f>#N/A</f>
        <v>0</v>
      </c>
      <c r="Q40" s="37"/>
      <c r="R40" s="107"/>
      <c r="S40" s="108"/>
      <c r="T40" s="147"/>
      <c r="U40" s="247">
        <f>#N/A</f>
        <v>0</v>
      </c>
      <c r="V40" s="132"/>
      <c r="W40" s="264"/>
    </row>
    <row r="41" spans="1:23" s="6" customFormat="1" ht="17.25">
      <c r="A41" s="7"/>
      <c r="B41" s="16" t="s">
        <v>12</v>
      </c>
      <c r="C41" s="70">
        <v>20000000</v>
      </c>
      <c r="D41" s="151">
        <f>D42+D43+D44+D45+D46+D48+D50+D51+D52+D53+D54+D59+D60+D64+D47</f>
        <v>59025</v>
      </c>
      <c r="E41" s="151">
        <f>E42+E43+E44+E45+E46+E48+E50+E51+E52+E53+E54+E59+E60+E64+E47</f>
        <v>14313.7</v>
      </c>
      <c r="F41" s="151">
        <f>F42+F43+F44+F45+F46+F48+F50+F51+F52+F53+F54+F59+F60+F64+F47</f>
        <v>13874.240000000002</v>
      </c>
      <c r="G41" s="151">
        <f>G42+G43+G44+G45+G46+G48+G50+G51+G52+G53+G54+G59+G60+G64</f>
        <v>-412.76999999999987</v>
      </c>
      <c r="H41" s="152">
        <f>F41/E41*100</f>
        <v>96.92979453251081</v>
      </c>
      <c r="I41" s="153">
        <f>F41-D41</f>
        <v>-45150.759999999995</v>
      </c>
      <c r="J41" s="153">
        <f>F41/D41*100</f>
        <v>23.505700974163492</v>
      </c>
      <c r="K41" s="151">
        <v>10672.26</v>
      </c>
      <c r="L41" s="151">
        <f>#N/A</f>
        <v>3201.9800000000014</v>
      </c>
      <c r="M41" s="205">
        <f>#N/A</f>
        <v>1.300028297661414</v>
      </c>
      <c r="N41" s="151">
        <f>N42+N43+N44+N45+N46+N48+N50+N51+N52+N53+N54+N59+N60+N64+N47</f>
        <v>6539.6</v>
      </c>
      <c r="O41" s="151">
        <f>O42+O43+O44+O45+O46+O48+O50+O51+O52+O53+O54+O59+O60+O64+O47</f>
        <v>5182.61</v>
      </c>
      <c r="P41" s="151">
        <f>P42+P43+P44+P45+P46+P48+P50+P51+P52+P53+P54+P59+P60+P64</f>
        <v>-1343.8999999999996</v>
      </c>
      <c r="Q41" s="151">
        <f>O41/N41*100</f>
        <v>79.24964829653189</v>
      </c>
      <c r="R41" s="15" t="e">
        <f>#N/A</f>
        <v>#N/A</v>
      </c>
      <c r="S41" s="15" t="e">
        <f>#N/A</f>
        <v>#N/A</v>
      </c>
      <c r="T41" s="147"/>
      <c r="U41" s="247"/>
      <c r="W41" s="264"/>
    </row>
    <row r="42" spans="1:23" s="6" customFormat="1" ht="46.5">
      <c r="A42" s="8"/>
      <c r="B42" s="44" t="s">
        <v>98</v>
      </c>
      <c r="C42" s="43">
        <v>21010301</v>
      </c>
      <c r="D42" s="150">
        <v>580</v>
      </c>
      <c r="E42" s="150">
        <v>80</v>
      </c>
      <c r="F42" s="156">
        <v>-186.82</v>
      </c>
      <c r="G42" s="162">
        <f>F42-E42</f>
        <v>-266.82</v>
      </c>
      <c r="H42" s="164">
        <f>#N/A</f>
        <v>-233.52499999999998</v>
      </c>
      <c r="I42" s="165">
        <f>F42-D42</f>
        <v>-766.8199999999999</v>
      </c>
      <c r="J42" s="165">
        <f>F42/D42*100</f>
        <v>-32.210344827586205</v>
      </c>
      <c r="K42" s="165">
        <v>94.65</v>
      </c>
      <c r="L42" s="165">
        <f>#N/A</f>
        <v>-281.47</v>
      </c>
      <c r="M42" s="218">
        <f>#N/A</f>
        <v>-1.9737982039091388</v>
      </c>
      <c r="N42" s="164">
        <f>E42-лютий!E39</f>
        <v>0</v>
      </c>
      <c r="O42" s="168">
        <f>F42-лютий!F39</f>
        <v>-196</v>
      </c>
      <c r="P42" s="167">
        <f>O42-N42</f>
        <v>-196</v>
      </c>
      <c r="Q42" s="165" t="e">
        <f>#N/A</f>
        <v>#DIV/0!</v>
      </c>
      <c r="R42" s="37"/>
      <c r="S42" s="94"/>
      <c r="T42" s="147">
        <v>-196</v>
      </c>
      <c r="U42" s="247">
        <f>#N/A</f>
        <v>0</v>
      </c>
      <c r="V42" s="132"/>
      <c r="W42" s="264"/>
    </row>
    <row r="43" spans="1:23" s="6" customFormat="1" ht="30.75">
      <c r="A43" s="8"/>
      <c r="B43" s="129" t="s">
        <v>77</v>
      </c>
      <c r="C43" s="42">
        <v>21050000</v>
      </c>
      <c r="D43" s="150">
        <v>30000</v>
      </c>
      <c r="E43" s="150">
        <v>5300</v>
      </c>
      <c r="F43" s="156">
        <v>4701.84</v>
      </c>
      <c r="G43" s="162">
        <f>#N/A</f>
        <v>-598.1599999999999</v>
      </c>
      <c r="H43" s="164">
        <f>#N/A</f>
        <v>88.71396226415095</v>
      </c>
      <c r="I43" s="165">
        <f>#N/A</f>
        <v>-25298.16</v>
      </c>
      <c r="J43" s="165">
        <f>F43/D43*100</f>
        <v>15.6728</v>
      </c>
      <c r="K43" s="165">
        <v>3537.38</v>
      </c>
      <c r="L43" s="165">
        <f>#N/A</f>
        <v>1164.46</v>
      </c>
      <c r="M43" s="218">
        <f>#N/A</f>
        <v>1.3291871385036382</v>
      </c>
      <c r="N43" s="164">
        <f>E43-лютий!E40</f>
        <v>2800</v>
      </c>
      <c r="O43" s="168">
        <f>F43-лютий!F40</f>
        <v>2585.52</v>
      </c>
      <c r="P43" s="167">
        <f>#N/A</f>
        <v>-214.48000000000002</v>
      </c>
      <c r="Q43" s="165">
        <f>#N/A</f>
        <v>92.34</v>
      </c>
      <c r="R43" s="37"/>
      <c r="S43" s="94"/>
      <c r="T43" s="147"/>
      <c r="U43" s="247"/>
      <c r="V43" s="132"/>
      <c r="W43" s="264"/>
    </row>
    <row r="44" spans="1:23" s="6" customFormat="1" ht="18">
      <c r="A44" s="8"/>
      <c r="B44" s="129" t="s">
        <v>61</v>
      </c>
      <c r="C44" s="42">
        <v>21080500</v>
      </c>
      <c r="D44" s="150">
        <v>40</v>
      </c>
      <c r="E44" s="150">
        <v>19</v>
      </c>
      <c r="F44" s="156">
        <v>72.08</v>
      </c>
      <c r="G44" s="162">
        <f>#N/A</f>
        <v>53.08</v>
      </c>
      <c r="H44" s="164">
        <f>F44/E44*100</f>
        <v>379.36842105263156</v>
      </c>
      <c r="I44" s="165">
        <f>#N/A</f>
        <v>32.08</v>
      </c>
      <c r="J44" s="165">
        <f>#N/A</f>
        <v>180.20000000000002</v>
      </c>
      <c r="K44" s="165">
        <v>26.96</v>
      </c>
      <c r="L44" s="165">
        <f>#N/A</f>
        <v>45.12</v>
      </c>
      <c r="M44" s="218">
        <f>#N/A</f>
        <v>2.6735905044510386</v>
      </c>
      <c r="N44" s="164">
        <f>E44-лютий!E41</f>
        <v>3</v>
      </c>
      <c r="O44" s="168">
        <f>F44-лютий!F41</f>
        <v>15</v>
      </c>
      <c r="P44" s="167">
        <f>#N/A</f>
        <v>12</v>
      </c>
      <c r="Q44" s="165">
        <f>#N/A</f>
        <v>500</v>
      </c>
      <c r="R44" s="37"/>
      <c r="S44" s="94"/>
      <c r="T44" s="147"/>
      <c r="U44" s="247"/>
      <c r="V44" s="132"/>
      <c r="W44" s="264"/>
    </row>
    <row r="45" spans="1:23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2.03</v>
      </c>
      <c r="G45" s="162">
        <f>#N/A</f>
        <v>2.03</v>
      </c>
      <c r="H45" s="164" t="e">
        <f>F45/E45*100</f>
        <v>#DIV/0!</v>
      </c>
      <c r="I45" s="165">
        <f>#N/A</f>
        <v>2.03</v>
      </c>
      <c r="J45" s="165" t="e">
        <f>#N/A</f>
        <v>#DIV/0!</v>
      </c>
      <c r="K45" s="165">
        <v>0.1</v>
      </c>
      <c r="L45" s="165">
        <f>#N/A</f>
        <v>1.9299999999999997</v>
      </c>
      <c r="M45" s="218">
        <f>#N/A</f>
        <v>20.299999999999997</v>
      </c>
      <c r="N45" s="164">
        <f>E45-лютий!E42</f>
        <v>0</v>
      </c>
      <c r="O45" s="168">
        <f>F45-лютий!F42</f>
        <v>0</v>
      </c>
      <c r="P45" s="167">
        <f>#N/A</f>
        <v>0</v>
      </c>
      <c r="Q45" s="165" t="e">
        <f>#N/A</f>
        <v>#DIV/0!</v>
      </c>
      <c r="R45" s="37"/>
      <c r="S45" s="94"/>
      <c r="T45" s="147"/>
      <c r="U45" s="247"/>
      <c r="V45" s="132"/>
      <c r="W45" s="264"/>
    </row>
    <row r="46" spans="1:23" s="6" customFormat="1" ht="18">
      <c r="A46" s="8"/>
      <c r="B46" s="130" t="s">
        <v>16</v>
      </c>
      <c r="C46" s="72">
        <v>21081100</v>
      </c>
      <c r="D46" s="150">
        <v>260</v>
      </c>
      <c r="E46" s="150">
        <v>62</v>
      </c>
      <c r="F46" s="156">
        <v>277.76</v>
      </c>
      <c r="G46" s="162">
        <f>#N/A</f>
        <v>215.76</v>
      </c>
      <c r="H46" s="164">
        <f>#N/A</f>
        <v>447.99999999999994</v>
      </c>
      <c r="I46" s="165">
        <f>#N/A</f>
        <v>17.75999999999999</v>
      </c>
      <c r="J46" s="165">
        <f>#N/A</f>
        <v>106.83076923076922</v>
      </c>
      <c r="K46" s="165">
        <v>20.4</v>
      </c>
      <c r="L46" s="165">
        <f>#N/A</f>
        <v>257.36</v>
      </c>
      <c r="M46" s="218">
        <f>#N/A</f>
        <v>13.615686274509805</v>
      </c>
      <c r="N46" s="164">
        <f>E46-лютий!E43</f>
        <v>22</v>
      </c>
      <c r="O46" s="168">
        <f>F46-лютий!F43</f>
        <v>195.68</v>
      </c>
      <c r="P46" s="167">
        <f>#N/A</f>
        <v>173.68</v>
      </c>
      <c r="Q46" s="165">
        <f>#N/A</f>
        <v>889.4545454545455</v>
      </c>
      <c r="R46" s="37"/>
      <c r="S46" s="94"/>
      <c r="T46" s="147"/>
      <c r="U46" s="247"/>
      <c r="V46" s="132"/>
      <c r="W46" s="264"/>
    </row>
    <row r="47" spans="1:23" s="6" customFormat="1" ht="46.5">
      <c r="A47" s="8"/>
      <c r="B47" s="130" t="s">
        <v>80</v>
      </c>
      <c r="C47" s="72">
        <v>21081500</v>
      </c>
      <c r="D47" s="150">
        <v>97.5</v>
      </c>
      <c r="E47" s="150">
        <v>27.2</v>
      </c>
      <c r="F47" s="156">
        <v>0.51</v>
      </c>
      <c r="G47" s="162">
        <f>#N/A</f>
        <v>-26.689999999999998</v>
      </c>
      <c r="H47" s="164">
        <f>#N/A</f>
        <v>1.875</v>
      </c>
      <c r="I47" s="165">
        <f>#N/A</f>
        <v>-96.99</v>
      </c>
      <c r="J47" s="165">
        <f>#N/A</f>
        <v>0.5230769230769231</v>
      </c>
      <c r="K47" s="165">
        <v>0</v>
      </c>
      <c r="L47" s="165">
        <f>#N/A</f>
        <v>0.51</v>
      </c>
      <c r="M47" s="218"/>
      <c r="N47" s="164">
        <f>E47-лютий!E44</f>
        <v>13.6</v>
      </c>
      <c r="O47" s="168">
        <f>F47-лютий!F44</f>
        <v>0.51</v>
      </c>
      <c r="P47" s="167">
        <f>#N/A</f>
        <v>-13.09</v>
      </c>
      <c r="Q47" s="165">
        <f>#N/A</f>
        <v>3.75</v>
      </c>
      <c r="R47" s="37"/>
      <c r="S47" s="94"/>
      <c r="T47" s="147"/>
      <c r="U47" s="247"/>
      <c r="V47" s="132"/>
      <c r="W47" s="264"/>
    </row>
    <row r="48" spans="1:23" s="6" customFormat="1" ht="30.75">
      <c r="A48" s="8"/>
      <c r="B48" s="148" t="s">
        <v>105</v>
      </c>
      <c r="C48" s="49">
        <v>22010300</v>
      </c>
      <c r="D48" s="150">
        <v>730</v>
      </c>
      <c r="E48" s="150">
        <f>180+100</f>
        <v>280</v>
      </c>
      <c r="F48" s="156">
        <v>300.95</v>
      </c>
      <c r="G48" s="162">
        <f>#N/A</f>
        <v>20.94999999999999</v>
      </c>
      <c r="H48" s="164">
        <f>#N/A</f>
        <v>107.48214285714286</v>
      </c>
      <c r="I48" s="165">
        <f>#N/A</f>
        <v>-429.05</v>
      </c>
      <c r="J48" s="165">
        <f>#N/A</f>
        <v>41.226027397260275</v>
      </c>
      <c r="K48" s="165">
        <v>0</v>
      </c>
      <c r="L48" s="165">
        <f>#N/A</f>
        <v>300.95</v>
      </c>
      <c r="M48" s="218"/>
      <c r="N48" s="164">
        <f>E48-лютий!E45</f>
        <v>160</v>
      </c>
      <c r="O48" s="168">
        <f>F48-лютий!F45</f>
        <v>108.56</v>
      </c>
      <c r="P48" s="167">
        <f>#N/A</f>
        <v>-51.44</v>
      </c>
      <c r="Q48" s="165">
        <f>#N/A</f>
        <v>67.85</v>
      </c>
      <c r="R48" s="37"/>
      <c r="S48" s="94"/>
      <c r="T48" s="147"/>
      <c r="U48" s="247"/>
      <c r="V48" s="132"/>
      <c r="W48" s="264"/>
    </row>
    <row r="49" spans="1:23" s="6" customFormat="1" ht="18" hidden="1">
      <c r="A49" s="8"/>
      <c r="B49" s="130"/>
      <c r="C49" s="49"/>
      <c r="D49" s="150"/>
      <c r="E49" s="150"/>
      <c r="F49" s="156"/>
      <c r="G49" s="162"/>
      <c r="H49" s="164"/>
      <c r="I49" s="165"/>
      <c r="J49" s="165"/>
      <c r="K49" s="165"/>
      <c r="L49" s="165">
        <f>#N/A</f>
        <v>0</v>
      </c>
      <c r="M49" s="218" t="e">
        <f>#N/A</f>
        <v>#DIV/0!</v>
      </c>
      <c r="N49" s="164">
        <f>E49-лютий!E46</f>
        <v>0</v>
      </c>
      <c r="O49" s="168">
        <f>F49-лютий!F46</f>
        <v>0</v>
      </c>
      <c r="P49" s="167"/>
      <c r="Q49" s="165"/>
      <c r="R49" s="37"/>
      <c r="S49" s="94"/>
      <c r="T49" s="147"/>
      <c r="U49" s="247"/>
      <c r="V49" s="132"/>
      <c r="W49" s="264"/>
    </row>
    <row r="50" spans="1:23" s="6" customFormat="1" ht="18">
      <c r="A50" s="8"/>
      <c r="B50" s="33" t="s">
        <v>78</v>
      </c>
      <c r="C50" s="72">
        <v>22012500</v>
      </c>
      <c r="D50" s="150">
        <v>11000</v>
      </c>
      <c r="E50" s="150">
        <f>2300+1040</f>
        <v>3340</v>
      </c>
      <c r="F50" s="156">
        <v>3584.94</v>
      </c>
      <c r="G50" s="162">
        <f>#N/A</f>
        <v>244.94000000000005</v>
      </c>
      <c r="H50" s="164">
        <f>#N/A</f>
        <v>107.33353293413175</v>
      </c>
      <c r="I50" s="165">
        <f>#N/A</f>
        <v>-7415.0599999999995</v>
      </c>
      <c r="J50" s="165">
        <f>#N/A</f>
        <v>32.59036363636364</v>
      </c>
      <c r="K50" s="165">
        <v>2339.58</v>
      </c>
      <c r="L50" s="165">
        <f>#N/A</f>
        <v>1245.3600000000001</v>
      </c>
      <c r="M50" s="218">
        <f>#N/A</f>
        <v>1.5323006693509091</v>
      </c>
      <c r="N50" s="164">
        <f>E50-лютий!E47</f>
        <v>1940</v>
      </c>
      <c r="O50" s="168">
        <f>F50-лютий!F47</f>
        <v>1441.2200000000003</v>
      </c>
      <c r="P50" s="167">
        <f>#N/A</f>
        <v>-498.77999999999975</v>
      </c>
      <c r="Q50" s="165">
        <f>#N/A</f>
        <v>74.28969072164949</v>
      </c>
      <c r="R50" s="37"/>
      <c r="S50" s="94"/>
      <c r="T50" s="147"/>
      <c r="U50" s="247"/>
      <c r="V50" s="132"/>
      <c r="W50" s="264"/>
    </row>
    <row r="51" spans="1:23" s="6" customFormat="1" ht="31.5">
      <c r="A51" s="8"/>
      <c r="B51" s="149" t="s">
        <v>99</v>
      </c>
      <c r="C51" s="72">
        <v>22012600</v>
      </c>
      <c r="D51" s="150">
        <v>310</v>
      </c>
      <c r="E51" s="150">
        <v>75</v>
      </c>
      <c r="F51" s="156">
        <v>135.2</v>
      </c>
      <c r="G51" s="162">
        <f>#N/A</f>
        <v>60.19999999999999</v>
      </c>
      <c r="H51" s="164">
        <f>#N/A</f>
        <v>180.26666666666665</v>
      </c>
      <c r="I51" s="165">
        <f>#N/A</f>
        <v>-174.8</v>
      </c>
      <c r="J51" s="165">
        <f>#N/A</f>
        <v>43.61290322580645</v>
      </c>
      <c r="K51" s="165">
        <v>1.2</v>
      </c>
      <c r="L51" s="165">
        <f>#N/A</f>
        <v>134</v>
      </c>
      <c r="M51" s="218"/>
      <c r="N51" s="164">
        <f>E51-лютий!E48</f>
        <v>25</v>
      </c>
      <c r="O51" s="168">
        <f>F51-лютий!F48</f>
        <v>44.75999999999999</v>
      </c>
      <c r="P51" s="167">
        <f>#N/A</f>
        <v>19.75999999999999</v>
      </c>
      <c r="Q51" s="165">
        <f>#N/A</f>
        <v>179.03999999999996</v>
      </c>
      <c r="R51" s="37"/>
      <c r="S51" s="94"/>
      <c r="T51" s="147"/>
      <c r="U51" s="247"/>
      <c r="V51" s="132"/>
      <c r="W51" s="264"/>
    </row>
    <row r="52" spans="1:23" s="6" customFormat="1" ht="31.5">
      <c r="A52" s="8"/>
      <c r="B52" s="149" t="s">
        <v>106</v>
      </c>
      <c r="C52" s="72">
        <v>22012900</v>
      </c>
      <c r="D52" s="150">
        <v>20</v>
      </c>
      <c r="E52" s="150">
        <v>3</v>
      </c>
      <c r="F52" s="156">
        <v>4</v>
      </c>
      <c r="G52" s="162">
        <f>#N/A</f>
        <v>1</v>
      </c>
      <c r="H52" s="164">
        <f>#N/A</f>
        <v>133.33333333333331</v>
      </c>
      <c r="I52" s="165">
        <f>#N/A</f>
        <v>-16</v>
      </c>
      <c r="J52" s="165">
        <f>#N/A</f>
        <v>20</v>
      </c>
      <c r="K52" s="165">
        <v>0</v>
      </c>
      <c r="L52" s="165">
        <f>#N/A</f>
        <v>4</v>
      </c>
      <c r="M52" s="218"/>
      <c r="N52" s="164">
        <f>E52-лютий!E49</f>
        <v>1</v>
      </c>
      <c r="O52" s="168">
        <f>F52-лютий!F49</f>
        <v>4</v>
      </c>
      <c r="P52" s="167">
        <f>#N/A</f>
        <v>3</v>
      </c>
      <c r="Q52" s="165">
        <f>#N/A</f>
        <v>400</v>
      </c>
      <c r="R52" s="37"/>
      <c r="S52" s="94"/>
      <c r="T52" s="147"/>
      <c r="U52" s="247"/>
      <c r="V52" s="132"/>
      <c r="W52" s="264"/>
    </row>
    <row r="53" spans="1:23" s="6" customFormat="1" ht="30.75">
      <c r="A53" s="8"/>
      <c r="B53" s="130" t="s">
        <v>14</v>
      </c>
      <c r="C53" s="49">
        <v>22080400</v>
      </c>
      <c r="D53" s="150">
        <v>7275</v>
      </c>
      <c r="E53" s="150">
        <v>1820</v>
      </c>
      <c r="F53" s="156">
        <v>1625.09</v>
      </c>
      <c r="G53" s="162">
        <f>#N/A</f>
        <v>-194.91000000000008</v>
      </c>
      <c r="H53" s="164">
        <f>#N/A</f>
        <v>89.29065934065935</v>
      </c>
      <c r="I53" s="165">
        <f>#N/A</f>
        <v>-5649.91</v>
      </c>
      <c r="J53" s="165">
        <f>#N/A</f>
        <v>22.33800687285223</v>
      </c>
      <c r="K53" s="165">
        <v>2001.53</v>
      </c>
      <c r="L53" s="165">
        <f>#N/A</f>
        <v>-376.44000000000005</v>
      </c>
      <c r="M53" s="218">
        <f>#N/A</f>
        <v>0.8119238782331516</v>
      </c>
      <c r="N53" s="164">
        <f>E53-лютий!E50</f>
        <v>620</v>
      </c>
      <c r="O53" s="168">
        <f>F53-лютий!F50</f>
        <v>461.74</v>
      </c>
      <c r="P53" s="167">
        <f>#N/A</f>
        <v>-158.26</v>
      </c>
      <c r="Q53" s="165">
        <f>#N/A</f>
        <v>74.4741935483871</v>
      </c>
      <c r="R53" s="37"/>
      <c r="S53" s="94"/>
      <c r="T53" s="147"/>
      <c r="U53" s="247"/>
      <c r="V53" s="132"/>
      <c r="W53" s="264"/>
    </row>
    <row r="54" spans="1:23" s="6" customFormat="1" ht="18">
      <c r="A54" s="8"/>
      <c r="B54" s="130" t="s">
        <v>15</v>
      </c>
      <c r="C54" s="43">
        <v>22090000</v>
      </c>
      <c r="D54" s="150">
        <v>1200</v>
      </c>
      <c r="E54" s="150">
        <v>235</v>
      </c>
      <c r="F54" s="156">
        <v>246</v>
      </c>
      <c r="G54" s="162">
        <f>#N/A</f>
        <v>11</v>
      </c>
      <c r="H54" s="164">
        <f>#N/A</f>
        <v>104.68085106382978</v>
      </c>
      <c r="I54" s="165">
        <f>#N/A</f>
        <v>-954</v>
      </c>
      <c r="J54" s="165">
        <f>#N/A</f>
        <v>20.5</v>
      </c>
      <c r="K54" s="165">
        <v>1500.1</v>
      </c>
      <c r="L54" s="165">
        <f>#N/A</f>
        <v>-1254.1</v>
      </c>
      <c r="M54" s="218">
        <f>#N/A</f>
        <v>0.16398906739550698</v>
      </c>
      <c r="N54" s="164">
        <f>E54-лютий!E51</f>
        <v>95</v>
      </c>
      <c r="O54" s="168">
        <f>F54-лютий!F51</f>
        <v>156.95</v>
      </c>
      <c r="P54" s="167">
        <f>#N/A</f>
        <v>61.94999999999999</v>
      </c>
      <c r="Q54" s="165">
        <f>#N/A</f>
        <v>165.21052631578945</v>
      </c>
      <c r="R54" s="37"/>
      <c r="S54" s="94"/>
      <c r="T54" s="147"/>
      <c r="U54" s="247"/>
      <c r="V54" s="132"/>
      <c r="W54" s="264"/>
    </row>
    <row r="55" spans="1:23" s="6" customFormat="1" ht="15" hidden="1">
      <c r="A55" s="8"/>
      <c r="B55" s="50" t="s">
        <v>97</v>
      </c>
      <c r="C55" s="123">
        <v>22090100</v>
      </c>
      <c r="D55" s="103">
        <v>998</v>
      </c>
      <c r="E55" s="103">
        <v>190</v>
      </c>
      <c r="F55" s="140">
        <v>220.94</v>
      </c>
      <c r="G55" s="34">
        <f>#N/A</f>
        <v>30.939999999999998</v>
      </c>
      <c r="H55" s="30">
        <f>#N/A</f>
        <v>116.28421052631579</v>
      </c>
      <c r="I55" s="104">
        <f>#N/A</f>
        <v>-777.06</v>
      </c>
      <c r="J55" s="104">
        <f>#N/A</f>
        <v>22.138276553106213</v>
      </c>
      <c r="K55" s="104">
        <v>163.68</v>
      </c>
      <c r="L55" s="104">
        <f>F55-K55</f>
        <v>57.25999999999999</v>
      </c>
      <c r="M55" s="109">
        <f>#N/A</f>
        <v>1.3498289345063539</v>
      </c>
      <c r="N55" s="105">
        <f>E55-лютий!E52</f>
        <v>80</v>
      </c>
      <c r="O55" s="144">
        <f>F55-лютий!F52</f>
        <v>147.23000000000002</v>
      </c>
      <c r="P55" s="106">
        <f>#N/A</f>
        <v>67.23000000000002</v>
      </c>
      <c r="Q55" s="119">
        <f>#N/A</f>
        <v>184.03750000000002</v>
      </c>
      <c r="R55" s="37"/>
      <c r="S55" s="94"/>
      <c r="T55" s="147"/>
      <c r="U55" s="247"/>
      <c r="V55" s="132"/>
      <c r="W55" s="264"/>
    </row>
    <row r="56" spans="1:23" s="6" customFormat="1" ht="15" hidden="1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</v>
      </c>
      <c r="G56" s="34">
        <f>#N/A</f>
        <v>0.1</v>
      </c>
      <c r="H56" s="30" t="e">
        <f>#N/A</f>
        <v>#DIV/0!</v>
      </c>
      <c r="I56" s="104">
        <f>#N/A</f>
        <v>-0.9</v>
      </c>
      <c r="J56" s="104">
        <f>#N/A</f>
        <v>10</v>
      </c>
      <c r="K56" s="104">
        <v>0.12</v>
      </c>
      <c r="L56" s="104">
        <f>F56-K56</f>
        <v>-0.01999999999999999</v>
      </c>
      <c r="M56" s="109">
        <f>#N/A</f>
        <v>0.8333333333333334</v>
      </c>
      <c r="N56" s="105">
        <f>E56-лютий!E53</f>
        <v>0</v>
      </c>
      <c r="O56" s="144">
        <f>F56-лютий!F53</f>
        <v>0</v>
      </c>
      <c r="P56" s="106">
        <f>#N/A</f>
        <v>0</v>
      </c>
      <c r="Q56" s="119" t="e">
        <f>#N/A</f>
        <v>#DIV/0!</v>
      </c>
      <c r="R56" s="37"/>
      <c r="S56" s="94"/>
      <c r="T56" s="147"/>
      <c r="U56" s="247"/>
      <c r="V56" s="132"/>
      <c r="W56" s="264"/>
    </row>
    <row r="57" spans="1:23" s="6" customFormat="1" ht="15" hidden="1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34">
        <f>#N/A</f>
        <v>0</v>
      </c>
      <c r="H57" s="30"/>
      <c r="I57" s="104">
        <f>#N/A</f>
        <v>-1</v>
      </c>
      <c r="J57" s="104">
        <f>#N/A</f>
        <v>0</v>
      </c>
      <c r="K57" s="104">
        <v>0</v>
      </c>
      <c r="L57" s="104">
        <f>F57-K57</f>
        <v>0</v>
      </c>
      <c r="M57" s="109" t="e">
        <f>#N/A</f>
        <v>#DIV/0!</v>
      </c>
      <c r="N57" s="105">
        <f>E57-лютий!E54</f>
        <v>0</v>
      </c>
      <c r="O57" s="144">
        <f>F57-лютий!F54</f>
        <v>0</v>
      </c>
      <c r="P57" s="106">
        <f>#N/A</f>
        <v>0</v>
      </c>
      <c r="Q57" s="119"/>
      <c r="R57" s="37"/>
      <c r="S57" s="94"/>
      <c r="T57" s="147"/>
      <c r="U57" s="247"/>
      <c r="V57" s="132"/>
      <c r="W57" s="264"/>
    </row>
    <row r="58" spans="1:23" s="6" customFormat="1" ht="15" hidden="1">
      <c r="A58" s="8"/>
      <c r="B58" s="50" t="s">
        <v>96</v>
      </c>
      <c r="C58" s="123">
        <v>22090400</v>
      </c>
      <c r="D58" s="103">
        <v>200</v>
      </c>
      <c r="E58" s="103">
        <v>45</v>
      </c>
      <c r="F58" s="140">
        <v>24.96</v>
      </c>
      <c r="G58" s="34">
        <f>#N/A</f>
        <v>-20.04</v>
      </c>
      <c r="H58" s="30">
        <f>#N/A</f>
        <v>55.46666666666666</v>
      </c>
      <c r="I58" s="104">
        <f>#N/A</f>
        <v>-175.04</v>
      </c>
      <c r="J58" s="104">
        <f>#N/A</f>
        <v>12.48</v>
      </c>
      <c r="K58" s="104">
        <v>1336.3</v>
      </c>
      <c r="L58" s="104">
        <f>F58-K58</f>
        <v>-1311.34</v>
      </c>
      <c r="M58" s="109">
        <f>#N/A</f>
        <v>0.018678440469954354</v>
      </c>
      <c r="N58" s="105">
        <f>E58-лютий!E55</f>
        <v>15</v>
      </c>
      <c r="O58" s="144">
        <f>F58-лютий!F55</f>
        <v>9.72</v>
      </c>
      <c r="P58" s="106">
        <f>#N/A</f>
        <v>-5.279999999999999</v>
      </c>
      <c r="Q58" s="119">
        <f>#N/A</f>
        <v>64.8</v>
      </c>
      <c r="R58" s="37"/>
      <c r="S58" s="94"/>
      <c r="T58" s="147"/>
      <c r="U58" s="247"/>
      <c r="V58" s="132"/>
      <c r="W58" s="264"/>
    </row>
    <row r="59" spans="1:23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62">
        <f>#N/A</f>
        <v>-0.45999999999999996</v>
      </c>
      <c r="H59" s="164"/>
      <c r="I59" s="165">
        <f>#N/A</f>
        <v>-0.45999999999999996</v>
      </c>
      <c r="J59" s="165">
        <f>#N/A</f>
        <v>81.60000000000001</v>
      </c>
      <c r="K59" s="165">
        <v>2.46</v>
      </c>
      <c r="L59" s="165">
        <f>F59-K59</f>
        <v>-0.41999999999999993</v>
      </c>
      <c r="M59" s="218">
        <f>#N/A</f>
        <v>0.8292682926829269</v>
      </c>
      <c r="N59" s="164">
        <f>E59-лютий!E56</f>
        <v>0</v>
      </c>
      <c r="O59" s="168">
        <f>F59-лютий!F56</f>
        <v>0.3700000000000001</v>
      </c>
      <c r="P59" s="167">
        <f>#N/A</f>
        <v>0.3700000000000001</v>
      </c>
      <c r="Q59" s="165"/>
      <c r="R59" s="37"/>
      <c r="S59" s="94"/>
      <c r="T59" s="147"/>
      <c r="U59" s="247"/>
      <c r="V59" s="132"/>
      <c r="W59" s="264"/>
    </row>
    <row r="60" spans="1:23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f>2800+260</f>
        <v>3060</v>
      </c>
      <c r="F60" s="156">
        <v>3075.73</v>
      </c>
      <c r="G60" s="162">
        <f>#N/A</f>
        <v>15.730000000000018</v>
      </c>
      <c r="H60" s="164">
        <f>#N/A</f>
        <v>100.5140522875817</v>
      </c>
      <c r="I60" s="165">
        <f>#N/A</f>
        <v>-4274.27</v>
      </c>
      <c r="J60" s="165">
        <f>#N/A</f>
        <v>41.846666666666664</v>
      </c>
      <c r="K60" s="165">
        <v>1114.84</v>
      </c>
      <c r="L60" s="165">
        <f>#N/A</f>
        <v>1960.89</v>
      </c>
      <c r="M60" s="218">
        <f>#N/A</f>
        <v>2.7588981378493775</v>
      </c>
      <c r="N60" s="164">
        <f>E60-лютий!E57</f>
        <v>860</v>
      </c>
      <c r="O60" s="168">
        <f>F60-лютий!F57</f>
        <v>364.3000000000002</v>
      </c>
      <c r="P60" s="167">
        <f>#N/A</f>
        <v>-495.6999999999998</v>
      </c>
      <c r="Q60" s="165">
        <f>#N/A</f>
        <v>42.36046511627909</v>
      </c>
      <c r="R60" s="37"/>
      <c r="S60" s="94"/>
      <c r="T60" s="147"/>
      <c r="U60" s="247"/>
      <c r="V60" s="132"/>
      <c r="W60" s="264"/>
    </row>
    <row r="61" spans="1:23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62">
        <f>#N/A</f>
        <v>0</v>
      </c>
      <c r="H61" s="164" t="e">
        <f>#N/A</f>
        <v>#DIV/0!</v>
      </c>
      <c r="I61" s="165">
        <f>#N/A</f>
        <v>0</v>
      </c>
      <c r="J61" s="165" t="e">
        <f>#N/A</f>
        <v>#DIV/0!</v>
      </c>
      <c r="K61" s="165"/>
      <c r="L61" s="165">
        <f>#N/A</f>
        <v>0</v>
      </c>
      <c r="M61" s="218" t="e">
        <f>#N/A</f>
        <v>#DIV/0!</v>
      </c>
      <c r="N61" s="164">
        <f>E61-лютий!E58</f>
        <v>0</v>
      </c>
      <c r="O61" s="168">
        <f>F61-лютий!F58</f>
        <v>0</v>
      </c>
      <c r="P61" s="167">
        <f>#N/A</f>
        <v>0</v>
      </c>
      <c r="Q61" s="165" t="e">
        <f>#N/A</f>
        <v>#DIV/0!</v>
      </c>
      <c r="R61" s="37"/>
      <c r="S61" s="94"/>
      <c r="T61" s="147"/>
      <c r="U61" s="247"/>
      <c r="V61" s="132"/>
      <c r="W61" s="264"/>
    </row>
    <row r="62" spans="1:23" s="6" customFormat="1" ht="30.75">
      <c r="A62" s="8"/>
      <c r="B62" s="50" t="s">
        <v>42</v>
      </c>
      <c r="C62" s="61"/>
      <c r="D62" s="103"/>
      <c r="E62" s="103"/>
      <c r="F62" s="201">
        <f>421.73+6</f>
        <v>427.73</v>
      </c>
      <c r="G62" s="162"/>
      <c r="H62" s="164"/>
      <c r="I62" s="165"/>
      <c r="J62" s="165"/>
      <c r="K62" s="166">
        <v>230.44</v>
      </c>
      <c r="L62" s="165">
        <f>#N/A</f>
        <v>197.29000000000002</v>
      </c>
      <c r="M62" s="218">
        <f>#N/A</f>
        <v>1.856144766533588</v>
      </c>
      <c r="N62" s="195">
        <f>E62-лютий!E59</f>
        <v>0</v>
      </c>
      <c r="O62" s="179">
        <f>F62-лютий!F59</f>
        <v>136.40000000000003</v>
      </c>
      <c r="P62" s="166"/>
      <c r="Q62" s="165"/>
      <c r="R62" s="37"/>
      <c r="S62" s="94"/>
      <c r="T62" s="147"/>
      <c r="U62" s="247"/>
      <c r="V62" s="132"/>
      <c r="W62" s="264"/>
    </row>
    <row r="63" spans="1:23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62">
        <f>#N/A</f>
        <v>0</v>
      </c>
      <c r="H63" s="164"/>
      <c r="I63" s="165">
        <f>#N/A</f>
        <v>0</v>
      </c>
      <c r="J63" s="165"/>
      <c r="K63" s="166"/>
      <c r="L63" s="165">
        <f>#N/A</f>
        <v>0</v>
      </c>
      <c r="M63" s="218" t="e">
        <f>#N/A</f>
        <v>#DIV/0!</v>
      </c>
      <c r="N63" s="164">
        <f>E63-лютий!E60</f>
        <v>0</v>
      </c>
      <c r="O63" s="168">
        <f>F63-лютий!F60</f>
        <v>0</v>
      </c>
      <c r="P63" s="167">
        <f>#N/A</f>
        <v>0</v>
      </c>
      <c r="Q63" s="165"/>
      <c r="R63" s="37"/>
      <c r="S63" s="94"/>
      <c r="T63" s="147"/>
      <c r="U63" s="247"/>
      <c r="V63" s="132"/>
      <c r="W63" s="264"/>
    </row>
    <row r="64" spans="1:23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10</v>
      </c>
      <c r="F64" s="156">
        <v>32.89</v>
      </c>
      <c r="G64" s="162">
        <f>#N/A</f>
        <v>22.89</v>
      </c>
      <c r="H64" s="164">
        <f>#N/A</f>
        <v>328.90000000000003</v>
      </c>
      <c r="I64" s="165">
        <f>#N/A</f>
        <v>-127.11</v>
      </c>
      <c r="J64" s="165">
        <f>#N/A</f>
        <v>20.556250000000002</v>
      </c>
      <c r="K64" s="165">
        <v>33.09</v>
      </c>
      <c r="L64" s="165">
        <f>#N/A</f>
        <v>-0.20000000000000284</v>
      </c>
      <c r="M64" s="218">
        <f>#N/A</f>
        <v>0.9939558779087336</v>
      </c>
      <c r="N64" s="164">
        <f>E64-лютий!E61</f>
        <v>0</v>
      </c>
      <c r="O64" s="168">
        <f>F64-лютий!F61</f>
        <v>0</v>
      </c>
      <c r="P64" s="167">
        <f>#N/A</f>
        <v>0</v>
      </c>
      <c r="Q64" s="165"/>
      <c r="R64" s="37"/>
      <c r="S64" s="94"/>
      <c r="T64" s="147"/>
      <c r="U64" s="247"/>
      <c r="V64" s="132"/>
      <c r="W64" s="264"/>
    </row>
    <row r="65" spans="1:23" s="6" customFormat="1" ht="18">
      <c r="A65" s="8"/>
      <c r="B65" s="12" t="s">
        <v>44</v>
      </c>
      <c r="C65" s="43">
        <v>31010200</v>
      </c>
      <c r="D65" s="150">
        <v>15</v>
      </c>
      <c r="E65" s="150">
        <v>3.7</v>
      </c>
      <c r="F65" s="156">
        <v>14.27</v>
      </c>
      <c r="G65" s="162">
        <f>#N/A</f>
        <v>10.57</v>
      </c>
      <c r="H65" s="164">
        <f>#N/A</f>
        <v>385.6756756756757</v>
      </c>
      <c r="I65" s="165">
        <f>#N/A</f>
        <v>-0.7300000000000004</v>
      </c>
      <c r="J65" s="165">
        <f>#N/A</f>
        <v>95.13333333333333</v>
      </c>
      <c r="K65" s="165">
        <v>5.8</v>
      </c>
      <c r="L65" s="165">
        <f>#N/A</f>
        <v>8.469999999999999</v>
      </c>
      <c r="M65" s="218">
        <f>#N/A</f>
        <v>2.4603448275862068</v>
      </c>
      <c r="N65" s="164">
        <f>E65-лютий!E62</f>
        <v>1.2000000000000002</v>
      </c>
      <c r="O65" s="168">
        <f>F65-лютий!F62</f>
        <v>5.67</v>
      </c>
      <c r="P65" s="167">
        <f>#N/A</f>
        <v>4.47</v>
      </c>
      <c r="Q65" s="165">
        <f>#N/A</f>
        <v>472.49999999999994</v>
      </c>
      <c r="R65" s="37"/>
      <c r="S65" s="94"/>
      <c r="T65" s="147">
        <v>0.3</v>
      </c>
      <c r="U65" s="247">
        <f>O65-T65</f>
        <v>5.37</v>
      </c>
      <c r="V65" s="132"/>
      <c r="W65" s="264"/>
    </row>
    <row r="66" spans="1:23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-5.33</v>
      </c>
      <c r="G66" s="162">
        <f>#N/A</f>
        <v>-5.33</v>
      </c>
      <c r="H66" s="164"/>
      <c r="I66" s="165">
        <f>#N/A</f>
        <v>-5.33</v>
      </c>
      <c r="J66" s="165"/>
      <c r="K66" s="165">
        <v>0</v>
      </c>
      <c r="L66" s="165">
        <f>#N/A</f>
        <v>-5.33</v>
      </c>
      <c r="M66" s="218" t="e">
        <f>#N/A</f>
        <v>#DIV/0!</v>
      </c>
      <c r="N66" s="164">
        <f>E66-лютий!E63</f>
        <v>0</v>
      </c>
      <c r="O66" s="168">
        <f>F66-лютий!F63</f>
        <v>0</v>
      </c>
      <c r="P66" s="167">
        <f>#N/A</f>
        <v>0</v>
      </c>
      <c r="Q66" s="165"/>
      <c r="R66" s="37"/>
      <c r="S66" s="94"/>
      <c r="T66" s="147"/>
      <c r="U66" s="247"/>
      <c r="V66" s="132"/>
      <c r="W66" s="264"/>
    </row>
    <row r="67" spans="1:23" s="6" customFormat="1" ht="18">
      <c r="A67" s="9"/>
      <c r="B67" s="14" t="s">
        <v>184</v>
      </c>
      <c r="C67" s="62"/>
      <c r="D67" s="151">
        <f>D8+D41+D65+D66</f>
        <v>1357491.1</v>
      </c>
      <c r="E67" s="151">
        <f>E8+E41+E65+E66</f>
        <v>306856.9</v>
      </c>
      <c r="F67" s="151">
        <f>F8+F41+F65+F66</f>
        <v>307428.99999999994</v>
      </c>
      <c r="G67" s="151">
        <f>F67-E67</f>
        <v>572.0999999999185</v>
      </c>
      <c r="H67" s="152">
        <f>F67/E67*100</f>
        <v>100.18643869503991</v>
      </c>
      <c r="I67" s="153">
        <f>F67-D67</f>
        <v>-1050062.1</v>
      </c>
      <c r="J67" s="153">
        <f>F67/D67*100</f>
        <v>22.646851975677773</v>
      </c>
      <c r="K67" s="153">
        <v>220465.78</v>
      </c>
      <c r="L67" s="153">
        <f>F67-K67</f>
        <v>86963.21999999994</v>
      </c>
      <c r="M67" s="219">
        <f>F67/K67</f>
        <v>1.3944522365330345</v>
      </c>
      <c r="N67" s="151">
        <f>N8+N41+N65+N66</f>
        <v>102834.8</v>
      </c>
      <c r="O67" s="151">
        <f>O8+O41+O65+O66</f>
        <v>103902.62999999998</v>
      </c>
      <c r="P67" s="155">
        <f>O67-N67</f>
        <v>1067.8299999999726</v>
      </c>
      <c r="Q67" s="153">
        <f>O67/N67*100</f>
        <v>101.03839361772471</v>
      </c>
      <c r="R67" s="27">
        <f>O67-34768</f>
        <v>69134.62999999998</v>
      </c>
      <c r="S67" s="115">
        <f>O67/34768</f>
        <v>2.988455763920846</v>
      </c>
      <c r="T67" s="147">
        <v>89561.4</v>
      </c>
      <c r="U67" s="247">
        <f>O67-T67</f>
        <v>14341.229999999981</v>
      </c>
      <c r="V67" s="132">
        <v>293087.8</v>
      </c>
      <c r="W67" s="265">
        <f>F67-V67</f>
        <v>14341.199999999953</v>
      </c>
    </row>
    <row r="68" spans="1:23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47"/>
      <c r="O68" s="46"/>
      <c r="P68" s="79"/>
      <c r="Q68" s="35"/>
      <c r="R68" s="35"/>
      <c r="S68" s="96"/>
      <c r="T68" s="248"/>
      <c r="U68" s="251"/>
      <c r="V68" s="263"/>
      <c r="W68" s="263"/>
    </row>
    <row r="69" spans="1:23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0"/>
      <c r="O69" s="46"/>
      <c r="P69" s="59"/>
      <c r="Q69" s="35"/>
      <c r="R69" s="35"/>
      <c r="S69" s="96"/>
      <c r="T69" s="248"/>
      <c r="U69" s="251"/>
      <c r="V69" s="263"/>
      <c r="W69" s="263"/>
    </row>
    <row r="70" spans="1:23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0"/>
      <c r="O70" s="57"/>
      <c r="P70" s="79"/>
      <c r="Q70" s="35"/>
      <c r="R70" s="35"/>
      <c r="S70" s="96"/>
      <c r="T70" s="248"/>
      <c r="U70" s="251"/>
      <c r="V70" s="263"/>
      <c r="W70" s="263"/>
    </row>
    <row r="71" spans="2:19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1"/>
      <c r="O71" s="146"/>
      <c r="P71" s="36"/>
      <c r="Q71" s="38"/>
      <c r="R71" s="38"/>
      <c r="S71" s="97"/>
    </row>
    <row r="72" spans="2:19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>
        <v>0.01</v>
      </c>
      <c r="L72" s="167">
        <f>F72-K72</f>
        <v>0</v>
      </c>
      <c r="M72" s="209">
        <f>F72/K72</f>
        <v>1</v>
      </c>
      <c r="N72" s="162">
        <f>D72-лютий!E69</f>
        <v>0</v>
      </c>
      <c r="O72" s="182">
        <f>F72-лютий!F69</f>
        <v>0</v>
      </c>
      <c r="P72" s="167"/>
      <c r="Q72" s="167"/>
      <c r="R72" s="38"/>
      <c r="S72" s="97"/>
    </row>
    <row r="73" spans="2:19" ht="31.5" hidden="1">
      <c r="B73" s="236" t="s">
        <v>62</v>
      </c>
      <c r="C73" s="73">
        <v>18041500</v>
      </c>
      <c r="D73" s="180">
        <v>0</v>
      </c>
      <c r="E73" s="180"/>
      <c r="F73" s="181">
        <v>0</v>
      </c>
      <c r="G73" s="162">
        <f>F73-E73</f>
        <v>0</v>
      </c>
      <c r="H73" s="164"/>
      <c r="I73" s="167">
        <f>F73-D73</f>
        <v>0</v>
      </c>
      <c r="J73" s="167"/>
      <c r="K73" s="167">
        <v>-55.72</v>
      </c>
      <c r="L73" s="167">
        <f>F73-K73</f>
        <v>55.72</v>
      </c>
      <c r="M73" s="209">
        <f>F73/K73</f>
        <v>0</v>
      </c>
      <c r="N73" s="162">
        <f>D73-лютий!E70</f>
        <v>0</v>
      </c>
      <c r="O73" s="182">
        <f>F73-лютий!F70</f>
        <v>0</v>
      </c>
      <c r="P73" s="167">
        <f>O73-N73</f>
        <v>0</v>
      </c>
      <c r="Q73" s="167"/>
      <c r="R73" s="38"/>
      <c r="S73" s="97"/>
    </row>
    <row r="74" spans="2:19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0.01</v>
      </c>
      <c r="G74" s="185">
        <f>F74-E74</f>
        <v>0.01</v>
      </c>
      <c r="H74" s="186"/>
      <c r="I74" s="187">
        <f>F74-D74</f>
        <v>0.01</v>
      </c>
      <c r="J74" s="187"/>
      <c r="K74" s="187">
        <v>-0.27</v>
      </c>
      <c r="L74" s="187">
        <f>F74-K74</f>
        <v>0.28</v>
      </c>
      <c r="M74" s="214">
        <f>F74/K74</f>
        <v>-0.037037037037037035</v>
      </c>
      <c r="N74" s="185">
        <f>SUM(N72:N73)</f>
        <v>0</v>
      </c>
      <c r="O74" s="188">
        <f>SUM(O72:O73)</f>
        <v>0</v>
      </c>
      <c r="P74" s="187">
        <f>O74-N74</f>
        <v>0</v>
      </c>
      <c r="Q74" s="187"/>
      <c r="R74" s="39"/>
      <c r="S74" s="98"/>
    </row>
    <row r="75" spans="2:19" ht="4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>#N/A</f>
        <v>35.57</v>
      </c>
      <c r="H75" s="186"/>
      <c r="I75" s="187">
        <f>#N/A</f>
        <v>35.57</v>
      </c>
      <c r="J75" s="187"/>
      <c r="K75" s="187">
        <v>0</v>
      </c>
      <c r="L75" s="187">
        <f>#N/A</f>
        <v>35.57</v>
      </c>
      <c r="M75" s="187"/>
      <c r="N75" s="186">
        <f>E75-лютий!E72</f>
        <v>0</v>
      </c>
      <c r="O75" s="289">
        <f>F75-лютий!F72</f>
        <v>8.91</v>
      </c>
      <c r="P75" s="187">
        <f>#N/A</f>
        <v>8.91</v>
      </c>
      <c r="Q75" s="187"/>
      <c r="R75" s="38"/>
      <c r="S75" s="97"/>
    </row>
    <row r="76" spans="2:19" ht="31.5">
      <c r="B76" s="23" t="s">
        <v>29</v>
      </c>
      <c r="C76" s="73">
        <v>31030000</v>
      </c>
      <c r="D76" s="180">
        <f>4000+100206.03</f>
        <v>104206.03</v>
      </c>
      <c r="E76" s="180">
        <v>0</v>
      </c>
      <c r="F76" s="181">
        <v>0.11</v>
      </c>
      <c r="G76" s="162">
        <f>#N/A</f>
        <v>0.11</v>
      </c>
      <c r="H76" s="164"/>
      <c r="I76" s="167">
        <f>#N/A</f>
        <v>-104205.92</v>
      </c>
      <c r="J76" s="167">
        <f>F76/D76*100</f>
        <v>0.00010556011010111412</v>
      </c>
      <c r="K76" s="167">
        <v>0.15</v>
      </c>
      <c r="L76" s="167">
        <f>#N/A</f>
        <v>-0.039999999999999994</v>
      </c>
      <c r="M76" s="209">
        <f>F76/K76</f>
        <v>0.7333333333333334</v>
      </c>
      <c r="N76" s="164">
        <f>E76-лютий!E73</f>
        <v>0</v>
      </c>
      <c r="O76" s="168">
        <f>F76-лютий!F73</f>
        <v>0.039999999999999994</v>
      </c>
      <c r="P76" s="167">
        <f>#N/A</f>
        <v>0.039999999999999994</v>
      </c>
      <c r="Q76" s="167"/>
      <c r="R76" s="38"/>
      <c r="S76" s="97"/>
    </row>
    <row r="77" spans="2:19" ht="18">
      <c r="B77" s="23" t="s">
        <v>30</v>
      </c>
      <c r="C77" s="73">
        <v>33010000</v>
      </c>
      <c r="D77" s="180">
        <f>8000+46000</f>
        <v>54000</v>
      </c>
      <c r="E77" s="180">
        <v>4830</v>
      </c>
      <c r="F77" s="181">
        <v>167.2</v>
      </c>
      <c r="G77" s="162">
        <f>#N/A</f>
        <v>-4662.8</v>
      </c>
      <c r="H77" s="164">
        <f>F77/E77*100</f>
        <v>3.461697722567288</v>
      </c>
      <c r="I77" s="167">
        <f>#N/A</f>
        <v>-53832.8</v>
      </c>
      <c r="J77" s="167">
        <f>F77/D77*100</f>
        <v>0.30962962962962964</v>
      </c>
      <c r="K77" s="167">
        <v>318.64</v>
      </c>
      <c r="L77" s="167">
        <f>#N/A</f>
        <v>-151.44</v>
      </c>
      <c r="M77" s="209">
        <f>F77/K77</f>
        <v>0.5247301029374843</v>
      </c>
      <c r="N77" s="164">
        <f>E77-лютий!E74</f>
        <v>3600</v>
      </c>
      <c r="O77" s="168">
        <f>F77-лютий!F74</f>
        <v>118.85999999999999</v>
      </c>
      <c r="P77" s="167">
        <f>#N/A</f>
        <v>-3481.14</v>
      </c>
      <c r="Q77" s="167">
        <f>O77/N77*100</f>
        <v>3.301666666666666</v>
      </c>
      <c r="R77" s="38"/>
      <c r="S77" s="97"/>
    </row>
    <row r="78" spans="2:19" ht="31.5">
      <c r="B78" s="23" t="s">
        <v>54</v>
      </c>
      <c r="C78" s="73">
        <v>24170000</v>
      </c>
      <c r="D78" s="180">
        <f>10000+69000</f>
        <v>79000</v>
      </c>
      <c r="E78" s="180">
        <v>4650</v>
      </c>
      <c r="F78" s="181">
        <v>1214.24</v>
      </c>
      <c r="G78" s="162">
        <f>#N/A</f>
        <v>-3435.76</v>
      </c>
      <c r="H78" s="164">
        <f>F78/E78*100</f>
        <v>26.112688172043008</v>
      </c>
      <c r="I78" s="167">
        <f>#N/A</f>
        <v>-77785.76</v>
      </c>
      <c r="J78" s="167">
        <f>F78/D78*100</f>
        <v>1.5370126582278483</v>
      </c>
      <c r="K78" s="167">
        <v>7957.09</v>
      </c>
      <c r="L78" s="167">
        <f>#N/A</f>
        <v>-6742.85</v>
      </c>
      <c r="M78" s="209">
        <f>F78/K78</f>
        <v>0.15259850020547713</v>
      </c>
      <c r="N78" s="164">
        <f>E78-лютий!E75</f>
        <v>3850</v>
      </c>
      <c r="O78" s="168">
        <f>F78-лютий!F75</f>
        <v>111.65000000000009</v>
      </c>
      <c r="P78" s="167">
        <f>#N/A</f>
        <v>-3738.35</v>
      </c>
      <c r="Q78" s="167">
        <f>O78/N78*100</f>
        <v>2.900000000000002</v>
      </c>
      <c r="R78" s="38"/>
      <c r="S78" s="97"/>
    </row>
    <row r="79" spans="2:19" ht="18">
      <c r="B79" s="23" t="s">
        <v>101</v>
      </c>
      <c r="C79" s="73">
        <v>24110700</v>
      </c>
      <c r="D79" s="180">
        <v>12</v>
      </c>
      <c r="E79" s="180">
        <v>3</v>
      </c>
      <c r="F79" s="181">
        <v>3</v>
      </c>
      <c r="G79" s="162">
        <f>#N/A</f>
        <v>0</v>
      </c>
      <c r="H79" s="164">
        <f>F79/E79*100</f>
        <v>100</v>
      </c>
      <c r="I79" s="167">
        <f>#N/A</f>
        <v>-9</v>
      </c>
      <c r="J79" s="167">
        <f>F79/D79*100</f>
        <v>25</v>
      </c>
      <c r="K79" s="167">
        <v>3</v>
      </c>
      <c r="L79" s="167">
        <f>#N/A</f>
        <v>0</v>
      </c>
      <c r="M79" s="209"/>
      <c r="N79" s="164">
        <f>E79-лютий!E76</f>
        <v>1</v>
      </c>
      <c r="O79" s="168">
        <f>F79-лютий!F76</f>
        <v>1</v>
      </c>
      <c r="P79" s="167">
        <f>#N/A</f>
        <v>0</v>
      </c>
      <c r="Q79" s="167">
        <f>O79/N79*100</f>
        <v>100</v>
      </c>
      <c r="R79" s="38"/>
      <c r="S79" s="136"/>
    </row>
    <row r="80" spans="2:19" ht="33">
      <c r="B80" s="28" t="s">
        <v>51</v>
      </c>
      <c r="C80" s="65"/>
      <c r="D80" s="183">
        <f>D76+D77+D78+D79</f>
        <v>237218.03</v>
      </c>
      <c r="E80" s="183">
        <f>E76+E77+E78+E79</f>
        <v>9483</v>
      </c>
      <c r="F80" s="184">
        <f>F76+F77+F78+F79</f>
        <v>1384.55</v>
      </c>
      <c r="G80" s="185">
        <f>#N/A</f>
        <v>-8098.45</v>
      </c>
      <c r="H80" s="186">
        <f>F80/E80*100</f>
        <v>14.60033744595592</v>
      </c>
      <c r="I80" s="187">
        <f>#N/A</f>
        <v>-235833.48</v>
      </c>
      <c r="J80" s="187">
        <f>F80/D80*100</f>
        <v>0.5836613684044167</v>
      </c>
      <c r="K80" s="187">
        <v>8278.87</v>
      </c>
      <c r="L80" s="187">
        <f>#N/A</f>
        <v>-6894.320000000001</v>
      </c>
      <c r="M80" s="214">
        <f>F80/K80</f>
        <v>0.1672390072558211</v>
      </c>
      <c r="N80" s="185">
        <f>N76+N77+N78+N79</f>
        <v>7451</v>
      </c>
      <c r="O80" s="189">
        <f>O76+O77+O78+O79</f>
        <v>231.55000000000007</v>
      </c>
      <c r="P80" s="187">
        <f>#N/A</f>
        <v>-7219.45</v>
      </c>
      <c r="Q80" s="187">
        <f>O80/N80*100</f>
        <v>3.107636558851162</v>
      </c>
      <c r="R80" s="39"/>
      <c r="S80" s="116"/>
    </row>
    <row r="81" spans="2:19" ht="46.5">
      <c r="B81" s="12" t="s">
        <v>40</v>
      </c>
      <c r="C81" s="75">
        <v>24062100</v>
      </c>
      <c r="D81" s="180">
        <v>40</v>
      </c>
      <c r="E81" s="180">
        <v>0.5</v>
      </c>
      <c r="F81" s="181">
        <v>8.78</v>
      </c>
      <c r="G81" s="162">
        <f>#N/A</f>
        <v>8.28</v>
      </c>
      <c r="H81" s="164"/>
      <c r="I81" s="167">
        <f>#N/A</f>
        <v>-31.22</v>
      </c>
      <c r="J81" s="167"/>
      <c r="K81" s="167">
        <v>0.44</v>
      </c>
      <c r="L81" s="167">
        <f>#N/A</f>
        <v>8.34</v>
      </c>
      <c r="M81" s="209">
        <f>F81/K81</f>
        <v>19.954545454545453</v>
      </c>
      <c r="N81" s="164">
        <f>E81-лютий!E78</f>
        <v>0.5</v>
      </c>
      <c r="O81" s="168">
        <f>F81-лютий!F78</f>
        <v>0</v>
      </c>
      <c r="P81" s="167">
        <f>#N/A</f>
        <v>-0.5</v>
      </c>
      <c r="Q81" s="167"/>
      <c r="R81" s="38"/>
      <c r="S81" s="97"/>
    </row>
    <row r="82" spans="2:19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>#N/A</f>
        <v>0</v>
      </c>
      <c r="H82" s="164"/>
      <c r="I82" s="167">
        <f>#N/A</f>
        <v>0</v>
      </c>
      <c r="J82" s="190"/>
      <c r="K82" s="167">
        <v>0</v>
      </c>
      <c r="L82" s="167">
        <f>#N/A</f>
        <v>0</v>
      </c>
      <c r="M82" s="209" t="e">
        <f>F82/K82</f>
        <v>#DIV/0!</v>
      </c>
      <c r="N82" s="164">
        <f>E82-лютий!E79</f>
        <v>0</v>
      </c>
      <c r="O82" s="168">
        <f>F82-лютий!F79</f>
        <v>0</v>
      </c>
      <c r="P82" s="167">
        <f>#N/A</f>
        <v>0</v>
      </c>
      <c r="Q82" s="190"/>
      <c r="R82" s="41"/>
      <c r="S82" s="99"/>
    </row>
    <row r="83" spans="2:21" ht="18">
      <c r="B83" s="23" t="s">
        <v>46</v>
      </c>
      <c r="C83" s="73">
        <v>19010000</v>
      </c>
      <c r="D83" s="180">
        <v>8360</v>
      </c>
      <c r="E83" s="180">
        <v>2356.3</v>
      </c>
      <c r="F83" s="181">
        <v>2217.95</v>
      </c>
      <c r="G83" s="162">
        <f>#N/A</f>
        <v>-138.35000000000036</v>
      </c>
      <c r="H83" s="164">
        <f>F83/E83*100</f>
        <v>94.12850655689002</v>
      </c>
      <c r="I83" s="167">
        <f>#N/A</f>
        <v>-6142.05</v>
      </c>
      <c r="J83" s="167">
        <f>F83/D83*100</f>
        <v>26.530502392344495</v>
      </c>
      <c r="K83" s="167">
        <v>2019</v>
      </c>
      <c r="L83" s="167">
        <f>#N/A</f>
        <v>198.94999999999982</v>
      </c>
      <c r="M83" s="209"/>
      <c r="N83" s="164">
        <f>E83-лютий!E80</f>
        <v>6.300000000000182</v>
      </c>
      <c r="O83" s="168">
        <f>F83-лютий!F80</f>
        <v>0.7199999999997999</v>
      </c>
      <c r="P83" s="167">
        <f>O83-N83</f>
        <v>-5.580000000000382</v>
      </c>
      <c r="Q83" s="190">
        <f>O83/N83*100</f>
        <v>11.428571428567922</v>
      </c>
      <c r="R83" s="41"/>
      <c r="S83" s="99"/>
      <c r="T83" s="29">
        <v>3.8</v>
      </c>
      <c r="U83" s="250">
        <f>O83-T83</f>
        <v>-3.0800000000002</v>
      </c>
    </row>
    <row r="84" spans="2:19" ht="31.5">
      <c r="B84" s="23" t="s">
        <v>50</v>
      </c>
      <c r="C84" s="73">
        <v>19050000</v>
      </c>
      <c r="D84" s="180">
        <v>0</v>
      </c>
      <c r="E84" s="180"/>
      <c r="F84" s="181">
        <v>0.03</v>
      </c>
      <c r="G84" s="162">
        <f>#N/A</f>
        <v>0.03</v>
      </c>
      <c r="H84" s="164"/>
      <c r="I84" s="167">
        <f>#N/A</f>
        <v>0.03</v>
      </c>
      <c r="J84" s="167"/>
      <c r="K84" s="167">
        <v>0.4</v>
      </c>
      <c r="L84" s="167">
        <f>#N/A</f>
        <v>-0.37</v>
      </c>
      <c r="M84" s="209">
        <f>#N/A</f>
        <v>0.075</v>
      </c>
      <c r="N84" s="164">
        <f>E84-лютий!E81</f>
        <v>0</v>
      </c>
      <c r="O84" s="168">
        <f>F84-лютий!F81</f>
        <v>0</v>
      </c>
      <c r="P84" s="167">
        <f>#N/A</f>
        <v>0</v>
      </c>
      <c r="Q84" s="167"/>
      <c r="R84" s="38"/>
      <c r="S84" s="97"/>
    </row>
    <row r="85" spans="2:19" ht="30">
      <c r="B85" s="28" t="s">
        <v>47</v>
      </c>
      <c r="C85" s="73"/>
      <c r="D85" s="183">
        <f>D81+D84+D82+D83</f>
        <v>8400</v>
      </c>
      <c r="E85" s="183">
        <f>E81+E84+E82+E83</f>
        <v>2356.8</v>
      </c>
      <c r="F85" s="184">
        <f>F81+F84+F82+F83</f>
        <v>2226.7599999999998</v>
      </c>
      <c r="G85" s="183">
        <f>G81+G84+G82+G83</f>
        <v>-130.04000000000036</v>
      </c>
      <c r="H85" s="186">
        <f>F85/E85*100</f>
        <v>94.48234894772571</v>
      </c>
      <c r="I85" s="187">
        <f>#N/A</f>
        <v>-6173.24</v>
      </c>
      <c r="J85" s="187">
        <f>F85/D85*100</f>
        <v>26.509047619047614</v>
      </c>
      <c r="K85" s="187">
        <v>2019.85</v>
      </c>
      <c r="L85" s="187">
        <f>#N/A</f>
        <v>206.90999999999985</v>
      </c>
      <c r="M85" s="220">
        <f>#N/A</f>
        <v>1.102438299873753</v>
      </c>
      <c r="N85" s="185">
        <f>N81+N84+N82+N83</f>
        <v>6.800000000000182</v>
      </c>
      <c r="O85" s="189">
        <f>O81+O84+O82+O83</f>
        <v>0.7199999999997999</v>
      </c>
      <c r="P85" s="185">
        <f>P81+P84+P82+P83</f>
        <v>-6.080000000000382</v>
      </c>
      <c r="Q85" s="187">
        <f>O85/N85*100</f>
        <v>10.58823529411442</v>
      </c>
      <c r="R85" s="39"/>
      <c r="S85" s="96"/>
    </row>
    <row r="86" spans="2:19" ht="30.75">
      <c r="B86" s="12" t="s">
        <v>41</v>
      </c>
      <c r="C86" s="43">
        <v>24110900</v>
      </c>
      <c r="D86" s="180">
        <v>38</v>
      </c>
      <c r="E86" s="180">
        <v>12.9</v>
      </c>
      <c r="F86" s="181">
        <v>7.12</v>
      </c>
      <c r="G86" s="162">
        <f>#N/A</f>
        <v>-5.78</v>
      </c>
      <c r="H86" s="164">
        <f>F86/E86*100</f>
        <v>55.19379844961241</v>
      </c>
      <c r="I86" s="167">
        <f>#N/A</f>
        <v>-30.88</v>
      </c>
      <c r="J86" s="167">
        <f>F86/D86*100</f>
        <v>18.736842105263158</v>
      </c>
      <c r="K86" s="167">
        <v>9.19</v>
      </c>
      <c r="L86" s="167">
        <f>#N/A</f>
        <v>-2.0699999999999994</v>
      </c>
      <c r="M86" s="209">
        <f>#N/A</f>
        <v>0.7747551686615888</v>
      </c>
      <c r="N86" s="164">
        <f>E86-лютий!E83</f>
        <v>8</v>
      </c>
      <c r="O86" s="168">
        <f>F86-лютий!F83</f>
        <v>6.16</v>
      </c>
      <c r="P86" s="167">
        <f>#N/A</f>
        <v>-1.8399999999999999</v>
      </c>
      <c r="Q86" s="167">
        <f>O86/N86</f>
        <v>0.77</v>
      </c>
      <c r="R86" s="38"/>
      <c r="S86" s="97"/>
    </row>
    <row r="87" spans="2:19" ht="18" hidden="1">
      <c r="B87" s="122"/>
      <c r="C87" s="43">
        <v>0</v>
      </c>
      <c r="D87" s="180">
        <v>0</v>
      </c>
      <c r="E87" s="180">
        <v>0</v>
      </c>
      <c r="F87" s="181">
        <v>0</v>
      </c>
      <c r="G87" s="162">
        <f>#N/A</f>
        <v>0</v>
      </c>
      <c r="H87" s="164"/>
      <c r="I87" s="167">
        <f>#N/A</f>
        <v>0</v>
      </c>
      <c r="J87" s="167"/>
      <c r="K87" s="167">
        <v>0</v>
      </c>
      <c r="L87" s="167">
        <f>#N/A</f>
        <v>0</v>
      </c>
      <c r="M87" s="167"/>
      <c r="N87" s="164">
        <f>E87-лютий!E84</f>
        <v>0</v>
      </c>
      <c r="O87" s="168">
        <f>F87-лютий!F84</f>
        <v>0</v>
      </c>
      <c r="P87" s="167">
        <f>#N/A</f>
        <v>0</v>
      </c>
      <c r="Q87" s="167"/>
      <c r="R87" s="38"/>
      <c r="S87" s="97"/>
    </row>
    <row r="88" spans="2:19" ht="23.25" customHeight="1">
      <c r="B88" s="14" t="s">
        <v>31</v>
      </c>
      <c r="C88" s="66"/>
      <c r="D88" s="191">
        <f>D74+D75+D80+D85+D86</f>
        <v>245656.03</v>
      </c>
      <c r="E88" s="191">
        <f>E74+E75+E80+E85+E86</f>
        <v>11852.699999999999</v>
      </c>
      <c r="F88" s="191">
        <f>F74+F75+F80+F85+F86</f>
        <v>3654.0099999999993</v>
      </c>
      <c r="G88" s="192">
        <f>F88-E88</f>
        <v>-8198.689999999999</v>
      </c>
      <c r="H88" s="193">
        <f>F88/E88*100</f>
        <v>30.828503210239017</v>
      </c>
      <c r="I88" s="194">
        <f>F88-D88</f>
        <v>-242002.02</v>
      </c>
      <c r="J88" s="194">
        <f>F88/D88*100</f>
        <v>1.487449748333065</v>
      </c>
      <c r="K88" s="194">
        <v>10307.64</v>
      </c>
      <c r="L88" s="194">
        <f>F88-K88</f>
        <v>-6653.63</v>
      </c>
      <c r="M88" s="221">
        <f>#N/A</f>
        <v>0.3544953063940921</v>
      </c>
      <c r="N88" s="191">
        <f>N74+N75+N80+N85+N86</f>
        <v>7465.8</v>
      </c>
      <c r="O88" s="191">
        <f>O74+O75+O80+O85+O86</f>
        <v>247.33999999999986</v>
      </c>
      <c r="P88" s="194">
        <f>#N/A</f>
        <v>-7218.46</v>
      </c>
      <c r="Q88" s="194">
        <f>O88/N88*100</f>
        <v>3.3129738273192406</v>
      </c>
      <c r="R88" s="27">
        <f>O88-8104.96</f>
        <v>-7857.62</v>
      </c>
      <c r="S88" s="95">
        <f>O88/8104.96</f>
        <v>0.0305171154453569</v>
      </c>
    </row>
    <row r="89" spans="2:19" ht="17.25">
      <c r="B89" s="21" t="s">
        <v>182</v>
      </c>
      <c r="C89" s="66"/>
      <c r="D89" s="191">
        <f>D67+D88</f>
        <v>1603147.1300000001</v>
      </c>
      <c r="E89" s="191">
        <f>E67+E88</f>
        <v>318709.60000000003</v>
      </c>
      <c r="F89" s="191">
        <f>F67+F88</f>
        <v>311083.00999999995</v>
      </c>
      <c r="G89" s="192">
        <f>F89-E89</f>
        <v>-7626.590000000084</v>
      </c>
      <c r="H89" s="193">
        <f>F89/E89*100</f>
        <v>97.60704101790468</v>
      </c>
      <c r="I89" s="194">
        <f>F89-D89</f>
        <v>-1292064.12</v>
      </c>
      <c r="J89" s="194">
        <f>F89/D89*100</f>
        <v>19.404520282551978</v>
      </c>
      <c r="K89" s="194">
        <f>K67+K88</f>
        <v>230773.41999999998</v>
      </c>
      <c r="L89" s="194">
        <f>F89-K89</f>
        <v>80309.58999999997</v>
      </c>
      <c r="M89" s="221">
        <f>#N/A</f>
        <v>1.348001905938734</v>
      </c>
      <c r="N89" s="192">
        <f>N67+N88</f>
        <v>110300.6</v>
      </c>
      <c r="O89" s="192">
        <f>O67+O88</f>
        <v>104149.96999999997</v>
      </c>
      <c r="P89" s="194">
        <f>#N/A</f>
        <v>-6150.630000000034</v>
      </c>
      <c r="Q89" s="194">
        <f>O89/N89*100</f>
        <v>94.42375653441593</v>
      </c>
      <c r="R89" s="27">
        <f>O89-42872.96</f>
        <v>61277.00999999997</v>
      </c>
      <c r="S89" s="95">
        <f>O89/42872.96</f>
        <v>2.4292694043051837</v>
      </c>
    </row>
    <row r="90" spans="2:15" ht="15">
      <c r="B90" s="20" t="s">
        <v>34</v>
      </c>
      <c r="O90" s="25"/>
    </row>
    <row r="91" spans="2:15" ht="15">
      <c r="B91" s="4" t="s">
        <v>36</v>
      </c>
      <c r="C91" s="76">
        <v>0</v>
      </c>
      <c r="D91" s="4" t="s">
        <v>35</v>
      </c>
      <c r="O91" s="78"/>
    </row>
    <row r="92" spans="2:18" ht="30.75">
      <c r="B92" s="52" t="s">
        <v>53</v>
      </c>
      <c r="C92" s="29">
        <f>IF(P67&lt;0,ABS(P67/C91),0)</f>
        <v>0</v>
      </c>
      <c r="D92" s="4" t="s">
        <v>24</v>
      </c>
      <c r="G92" s="424"/>
      <c r="H92" s="424"/>
      <c r="I92" s="424"/>
      <c r="J92" s="424"/>
      <c r="K92" s="84"/>
      <c r="L92" s="84"/>
      <c r="M92" s="84"/>
      <c r="Q92" s="25"/>
      <c r="R92" s="25"/>
    </row>
    <row r="93" spans="2:16" ht="34.5" customHeight="1">
      <c r="B93" s="53" t="s">
        <v>55</v>
      </c>
      <c r="C93" s="81">
        <v>42825</v>
      </c>
      <c r="D93" s="29">
        <v>4482.8</v>
      </c>
      <c r="G93" s="4" t="s">
        <v>58</v>
      </c>
      <c r="O93" s="430"/>
      <c r="P93" s="430"/>
    </row>
    <row r="94" spans="3:16" ht="15">
      <c r="C94" s="81">
        <v>42824</v>
      </c>
      <c r="D94" s="29">
        <v>11112.7</v>
      </c>
      <c r="F94" s="113" t="s">
        <v>58</v>
      </c>
      <c r="G94" s="427"/>
      <c r="H94" s="427"/>
      <c r="I94" s="118"/>
      <c r="J94" s="436"/>
      <c r="K94" s="436"/>
      <c r="L94" s="436"/>
      <c r="M94" s="436"/>
      <c r="N94" s="436"/>
      <c r="O94" s="430"/>
      <c r="P94" s="430"/>
    </row>
    <row r="95" spans="3:16" ht="15.75" customHeight="1">
      <c r="C95" s="81">
        <v>42823</v>
      </c>
      <c r="D95" s="29">
        <v>8830.3</v>
      </c>
      <c r="F95" s="68"/>
      <c r="G95" s="427"/>
      <c r="H95" s="427"/>
      <c r="I95" s="118"/>
      <c r="J95" s="437"/>
      <c r="K95" s="437"/>
      <c r="L95" s="437"/>
      <c r="M95" s="437"/>
      <c r="N95" s="437"/>
      <c r="O95" s="430"/>
      <c r="P95" s="430"/>
    </row>
    <row r="96" spans="3:14" ht="15.75" customHeight="1">
      <c r="C96" s="81"/>
      <c r="F96" s="68"/>
      <c r="G96" s="421"/>
      <c r="H96" s="421"/>
      <c r="I96" s="124"/>
      <c r="J96" s="436"/>
      <c r="K96" s="436"/>
      <c r="L96" s="436"/>
      <c r="M96" s="436"/>
      <c r="N96" s="436"/>
    </row>
    <row r="97" spans="2:14" ht="18" customHeight="1">
      <c r="B97" s="425" t="s">
        <v>56</v>
      </c>
      <c r="C97" s="426"/>
      <c r="D97" s="133">
        <v>1399.2856000000002</v>
      </c>
      <c r="E97" s="69"/>
      <c r="F97" s="125" t="s">
        <v>107</v>
      </c>
      <c r="G97" s="427"/>
      <c r="H97" s="427"/>
      <c r="I97" s="126"/>
      <c r="J97" s="436"/>
      <c r="K97" s="436"/>
      <c r="L97" s="436"/>
      <c r="M97" s="436"/>
      <c r="N97" s="436"/>
    </row>
    <row r="98" spans="6:13" ht="9.75" customHeight="1">
      <c r="F98" s="68"/>
      <c r="G98" s="427"/>
      <c r="H98" s="427"/>
      <c r="I98" s="68"/>
      <c r="J98" s="69"/>
      <c r="K98" s="69"/>
      <c r="L98" s="69"/>
      <c r="M98" s="69"/>
    </row>
    <row r="99" spans="2:13" ht="22.5" customHeight="1" hidden="1">
      <c r="B99" s="428" t="s">
        <v>59</v>
      </c>
      <c r="C99" s="429"/>
      <c r="D99" s="80">
        <v>0</v>
      </c>
      <c r="E99" s="51" t="s">
        <v>24</v>
      </c>
      <c r="F99" s="68"/>
      <c r="G99" s="427"/>
      <c r="H99" s="427"/>
      <c r="I99" s="68"/>
      <c r="J99" s="69"/>
      <c r="K99" s="69"/>
      <c r="L99" s="69"/>
      <c r="M99" s="69"/>
    </row>
    <row r="100" spans="2:16" ht="15" hidden="1">
      <c r="B100" s="284" t="s">
        <v>195</v>
      </c>
      <c r="D100" s="68">
        <f>D48+D51+D52</f>
        <v>1060</v>
      </c>
      <c r="E100" s="68">
        <f>E48+E51+E52</f>
        <v>358</v>
      </c>
      <c r="F100" s="203">
        <f>F48+F51+F52</f>
        <v>440.15</v>
      </c>
      <c r="G100" s="68">
        <f>G48+G51+G52</f>
        <v>82.14999999999998</v>
      </c>
      <c r="H100" s="286">
        <f>F100/E100*100</f>
        <v>122.94692737430167</v>
      </c>
      <c r="I100" s="69"/>
      <c r="K100" s="202">
        <f>K48+K51+K52</f>
        <v>1.2</v>
      </c>
      <c r="L100" s="29">
        <f>F100-K100</f>
        <v>438.95</v>
      </c>
      <c r="N100" s="29">
        <f>N48+N51+N52</f>
        <v>186</v>
      </c>
      <c r="O100" s="202">
        <f>O48+O51+O52</f>
        <v>157.32</v>
      </c>
      <c r="P100" s="29">
        <f>P48+P51+P52</f>
        <v>-28.680000000000007</v>
      </c>
    </row>
    <row r="101" spans="4:16" ht="15" hidden="1">
      <c r="D101" s="78"/>
      <c r="I101" s="29"/>
      <c r="O101" s="420"/>
      <c r="P101" s="420"/>
    </row>
    <row r="102" spans="2:17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292625.7</v>
      </c>
      <c r="F102" s="229">
        <f>F9+F15+F18+F19+F23+F42+F45+F65+F59</f>
        <v>293377.33999999997</v>
      </c>
      <c r="G102" s="29">
        <f>F102-E102</f>
        <v>751.6399999999558</v>
      </c>
      <c r="H102" s="230">
        <f>F102/E102</f>
        <v>1.0025686055599352</v>
      </c>
      <c r="I102" s="29">
        <f>F102-D102</f>
        <v>-1005671.2600000001</v>
      </c>
      <c r="J102" s="230">
        <f>F102/D102</f>
        <v>0.22584015717348832</v>
      </c>
      <c r="N102" s="29">
        <f>N9+N15+N17+N18+N19+N23+N42+N45+N65+N59</f>
        <v>96295.2</v>
      </c>
      <c r="O102" s="229">
        <f>O9+O15+O17+O18+O19+O23+O42+O45+O65+O59</f>
        <v>98524.38999999997</v>
      </c>
      <c r="P102" s="29">
        <f>O102-N102</f>
        <v>2229.189999999973</v>
      </c>
      <c r="Q102" s="230">
        <f>O102/N102</f>
        <v>1.0231495443178888</v>
      </c>
    </row>
    <row r="103" spans="2:17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14231.2</v>
      </c>
      <c r="F103" s="229">
        <f>F43+F44+F46+F48+F50+F51+F52+F53+F54+F60+F64+F47+F66</f>
        <v>14051.66</v>
      </c>
      <c r="G103" s="29">
        <f>G43+G44+G46+G48+G50+G51+G52+G53+G54+G60+G64+G47</f>
        <v>-174.20999999999987</v>
      </c>
      <c r="H103" s="230">
        <f>F103/E103</f>
        <v>0.9873840575636629</v>
      </c>
      <c r="I103" s="29">
        <f>I43+I44+I46+I48+I50+I51+I52+I53+I54+I60+I64+I47</f>
        <v>-44385.51</v>
      </c>
      <c r="J103" s="230">
        <f>F103/D103</f>
        <v>0.24043564187021432</v>
      </c>
      <c r="K103" s="29">
        <f>#N/A</f>
        <v>10575.08</v>
      </c>
      <c r="L103" s="29">
        <f>#N/A</f>
        <v>3481.9100000000008</v>
      </c>
      <c r="M103" s="29">
        <f>#N/A</f>
        <v>23.879531548202163</v>
      </c>
      <c r="N103" s="29">
        <f>N43+N44+N46+N48+N50+N51+N52+N53+N54+N60+N64+N47+N66</f>
        <v>6539.6</v>
      </c>
      <c r="O103" s="229">
        <f>O43+O44+O46+O48+O50+O51+O52+O53+O54+O60+O64+O47+O66</f>
        <v>5378.24</v>
      </c>
      <c r="P103" s="29">
        <f>#N/A</f>
        <v>-1161.3599999999994</v>
      </c>
      <c r="Q103" s="230">
        <f>O103/N103</f>
        <v>0.8224111566456663</v>
      </c>
    </row>
    <row r="104" spans="2:17" ht="15" hidden="1">
      <c r="B104" s="4" t="s">
        <v>121</v>
      </c>
      <c r="D104" s="29">
        <f>SUM(D102:D103)</f>
        <v>1357491.1</v>
      </c>
      <c r="E104" s="29">
        <f>SUM(E102:E103)</f>
        <v>306856.9</v>
      </c>
      <c r="F104" s="229">
        <f>SUM(F102:F103)</f>
        <v>307428.99999999994</v>
      </c>
      <c r="G104" s="29">
        <f>#N/A</f>
        <v>577.429999999956</v>
      </c>
      <c r="H104" s="230">
        <f>F104/E104</f>
        <v>1.0018643869503991</v>
      </c>
      <c r="I104" s="29">
        <f>#N/A</f>
        <v>-1050056.77</v>
      </c>
      <c r="J104" s="230">
        <f>F104/D104</f>
        <v>0.22646851975677773</v>
      </c>
      <c r="K104" s="29">
        <f>#N/A</f>
        <v>10575.08</v>
      </c>
      <c r="L104" s="29">
        <f>#N/A</f>
        <v>3481.9100000000008</v>
      </c>
      <c r="M104" s="29">
        <f>#N/A</f>
        <v>23.879531548202163</v>
      </c>
      <c r="N104" s="29">
        <f>#N/A</f>
        <v>102834.8</v>
      </c>
      <c r="O104" s="229">
        <f>#N/A</f>
        <v>103902.62999999998</v>
      </c>
      <c r="P104" s="29">
        <f>#N/A</f>
        <v>1067.8299999999738</v>
      </c>
      <c r="Q104" s="230">
        <f>O104/N104</f>
        <v>1.010383936177247</v>
      </c>
    </row>
    <row r="105" spans="4:20" ht="15" hidden="1">
      <c r="D105" s="29">
        <f>D67-D104</f>
        <v>0</v>
      </c>
      <c r="E105" s="29">
        <f>#N/A</f>
        <v>0</v>
      </c>
      <c r="F105" s="29">
        <f>#N/A</f>
        <v>0</v>
      </c>
      <c r="G105" s="29">
        <f>#N/A</f>
        <v>-5.330000000037444</v>
      </c>
      <c r="H105" s="230"/>
      <c r="I105" s="29">
        <f>#N/A</f>
        <v>-5.330000000074506</v>
      </c>
      <c r="J105" s="230"/>
      <c r="K105" s="29">
        <f>#N/A</f>
        <v>209890.7</v>
      </c>
      <c r="L105" s="29">
        <f>#N/A</f>
        <v>83481.30999999994</v>
      </c>
      <c r="M105" s="29">
        <f>#N/A</f>
        <v>-22.48507931166913</v>
      </c>
      <c r="N105" s="29">
        <f>#N/A</f>
        <v>0</v>
      </c>
      <c r="O105" s="29">
        <f>#N/A</f>
        <v>0</v>
      </c>
      <c r="P105" s="29">
        <f>#N/A</f>
        <v>0</v>
      </c>
      <c r="Q105" s="29"/>
      <c r="R105" s="29">
        <f>#N/A</f>
        <v>69134.62999999998</v>
      </c>
      <c r="S105" s="29">
        <f>#N/A</f>
        <v>2.988455763920846</v>
      </c>
      <c r="T105" s="29">
        <f>#N/A</f>
        <v>89561.4</v>
      </c>
    </row>
    <row r="106" ht="15" hidden="1">
      <c r="E106" s="4" t="s">
        <v>58</v>
      </c>
    </row>
    <row r="107" spans="2:5" ht="15" hidden="1">
      <c r="B107" s="245" t="s">
        <v>165</v>
      </c>
      <c r="E107" s="29">
        <f>E67-E9-E20-E29-E35</f>
        <v>19583.200000000026</v>
      </c>
    </row>
    <row r="108" spans="2:5" ht="15" hidden="1">
      <c r="B108" s="245" t="s">
        <v>166</v>
      </c>
      <c r="E108" s="29">
        <f>E88-E83-E76-E77</f>
        <v>4666.399999999998</v>
      </c>
    </row>
    <row r="109" ht="15" hidden="1"/>
    <row r="110" spans="2:23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268"/>
      <c r="N110" s="266"/>
      <c r="O110" s="266"/>
      <c r="P110" s="267"/>
      <c r="Q110" s="267"/>
      <c r="R110" s="270"/>
      <c r="S110" s="97"/>
      <c r="T110" s="147">
        <f>D110-E110</f>
        <v>54306.16</v>
      </c>
      <c r="U110" s="4"/>
      <c r="V110" s="4"/>
      <c r="W110" s="4"/>
    </row>
    <row r="111" spans="2:23" ht="23.25" customHeight="1" hidden="1">
      <c r="B111" s="14" t="s">
        <v>31</v>
      </c>
      <c r="C111" s="66"/>
      <c r="D111" s="191">
        <f>D88+D110</f>
        <v>318064.25</v>
      </c>
      <c r="E111" s="191">
        <f>E88+E110</f>
        <v>29954.760000000002</v>
      </c>
      <c r="F111" s="191">
        <f>F88+F110</f>
        <v>23908.329999999998</v>
      </c>
      <c r="G111" s="192">
        <f>F111-E111</f>
        <v>-6046.430000000004</v>
      </c>
      <c r="H111" s="193">
        <f>F111/E111*100</f>
        <v>79.8147940427498</v>
      </c>
      <c r="I111" s="194">
        <f>F111-D111</f>
        <v>-294155.92</v>
      </c>
      <c r="J111" s="194">
        <f>F111/D111*100</f>
        <v>7.516824037910578</v>
      </c>
      <c r="K111" s="194">
        <v>3039.87</v>
      </c>
      <c r="L111" s="194">
        <f>F111-K111</f>
        <v>20868.46</v>
      </c>
      <c r="M111" s="269">
        <f>F111/K111</f>
        <v>7.864918565596555</v>
      </c>
      <c r="N111" s="272"/>
      <c r="O111" s="272"/>
      <c r="P111" s="273"/>
      <c r="Q111" s="273"/>
      <c r="R111" s="271">
        <f>O111-8104.96</f>
        <v>-8104.96</v>
      </c>
      <c r="S111" s="95">
        <f>O111/8104.96</f>
        <v>0</v>
      </c>
      <c r="T111" s="147">
        <f>D111-E111</f>
        <v>288109.49</v>
      </c>
      <c r="U111" s="4"/>
      <c r="V111" s="4"/>
      <c r="W111" s="4"/>
    </row>
    <row r="112" spans="2:23" ht="17.25" hidden="1">
      <c r="B112" s="21" t="s">
        <v>181</v>
      </c>
      <c r="C112" s="66"/>
      <c r="D112" s="191">
        <f>D111+D67</f>
        <v>1675555.35</v>
      </c>
      <c r="E112" s="191">
        <f>E111+E67</f>
        <v>336811.66000000003</v>
      </c>
      <c r="F112" s="191">
        <f>F111+F67</f>
        <v>331337.32999999996</v>
      </c>
      <c r="G112" s="192">
        <f>F112-E112</f>
        <v>-5474.3300000000745</v>
      </c>
      <c r="H112" s="193">
        <f>F112/E112*100</f>
        <v>98.37466137603428</v>
      </c>
      <c r="I112" s="194">
        <f>F112-D112</f>
        <v>-1344218.02</v>
      </c>
      <c r="J112" s="194">
        <f>F112/D112*100</f>
        <v>19.774776762820753</v>
      </c>
      <c r="K112" s="194">
        <f>K89+K111</f>
        <v>233813.28999999998</v>
      </c>
      <c r="L112" s="194">
        <f>F112-K112</f>
        <v>97524.03999999998</v>
      </c>
      <c r="M112" s="269">
        <f>F112/K112</f>
        <v>1.4171022100582904</v>
      </c>
      <c r="N112" s="274"/>
      <c r="O112" s="274"/>
      <c r="P112" s="273"/>
      <c r="Q112" s="273"/>
      <c r="R112" s="271">
        <f>O112-42872.96</f>
        <v>-42872.96</v>
      </c>
      <c r="S112" s="95">
        <f>O112/42872.96</f>
        <v>0</v>
      </c>
      <c r="T112" s="147">
        <f>D112-E112</f>
        <v>1338743.69</v>
      </c>
      <c r="U112" s="4"/>
      <c r="V112" s="4"/>
      <c r="W112" s="4"/>
    </row>
    <row r="113" spans="2:23" ht="15" hidden="1">
      <c r="B113" s="241" t="s">
        <v>183</v>
      </c>
      <c r="C113" s="239">
        <v>40000000</v>
      </c>
      <c r="D113" s="244">
        <f>#N/A</f>
        <v>1222868.6900000002</v>
      </c>
      <c r="E113" s="244">
        <f>#N/A</f>
        <v>550655.6</v>
      </c>
      <c r="F113" s="244">
        <f>#N/A</f>
        <v>545829.08</v>
      </c>
      <c r="G113" s="244">
        <f>#N/A</f>
        <v>-4826.520000000019</v>
      </c>
      <c r="H113" s="244">
        <f>F113/E113*100</f>
        <v>99.12349570221387</v>
      </c>
      <c r="I113" s="36">
        <f>#N/A</f>
        <v>-677039.6100000002</v>
      </c>
      <c r="J113" s="36">
        <f>F113/D113*100</f>
        <v>44.63513412875097</v>
      </c>
      <c r="Q113" s="89"/>
      <c r="S113" s="4"/>
      <c r="T113" s="4"/>
      <c r="U113" s="4"/>
      <c r="V113" s="4"/>
      <c r="W113" s="4"/>
    </row>
    <row r="114" spans="2:23" ht="15" customHeight="1" hidden="1">
      <c r="B114" s="240" t="s">
        <v>154</v>
      </c>
      <c r="C114" s="239">
        <v>41000000</v>
      </c>
      <c r="D114" s="244">
        <f>#N/A</f>
        <v>1222868.6900000002</v>
      </c>
      <c r="E114" s="244">
        <f>#N/A</f>
        <v>550655.6</v>
      </c>
      <c r="F114" s="244">
        <f>#N/A</f>
        <v>545829.08</v>
      </c>
      <c r="G114" s="244">
        <f>#N/A</f>
        <v>-4826.520000000019</v>
      </c>
      <c r="H114" s="244">
        <f>#N/A</f>
        <v>99.12349570221387</v>
      </c>
      <c r="I114" s="36">
        <f>#N/A</f>
        <v>-677039.6100000002</v>
      </c>
      <c r="J114" s="36">
        <f>#N/A</f>
        <v>44.63513412875097</v>
      </c>
      <c r="Q114" s="89"/>
      <c r="S114" s="4"/>
      <c r="T114" s="4"/>
      <c r="U114" s="4"/>
      <c r="V114" s="4"/>
      <c r="W114" s="4"/>
    </row>
    <row r="115" spans="2:23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>
        <f>#N/A</f>
        <v>-4826.520000000019</v>
      </c>
      <c r="H115" s="244">
        <f>#N/A</f>
        <v>99.12349570221387</v>
      </c>
      <c r="I115" s="36">
        <f>#N/A</f>
        <v>-677039.6100000002</v>
      </c>
      <c r="J115" s="36">
        <f>#N/A</f>
        <v>44.63513412875097</v>
      </c>
      <c r="Q115" s="89"/>
      <c r="S115" s="4"/>
      <c r="T115" s="4"/>
      <c r="U115" s="4"/>
      <c r="V115" s="4"/>
      <c r="W115" s="4"/>
    </row>
    <row r="116" spans="2:23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>
        <f>#N/A</f>
        <v>-3734.029999999999</v>
      </c>
      <c r="H116" s="244">
        <f>#N/A</f>
        <v>95.0108160470321</v>
      </c>
      <c r="I116" s="36">
        <f>#N/A</f>
        <v>-240704.93000000002</v>
      </c>
      <c r="J116" s="36">
        <f>#N/A</f>
        <v>22.80481531582671</v>
      </c>
      <c r="Q116" s="89"/>
      <c r="S116" s="4"/>
      <c r="T116" s="4"/>
      <c r="U116" s="4"/>
      <c r="V116" s="4"/>
      <c r="W116" s="4"/>
    </row>
    <row r="117" spans="2:23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>
        <f>#N/A</f>
        <v>-707.6699999999837</v>
      </c>
      <c r="H117" s="244">
        <f>#N/A</f>
        <v>99.80061079304002</v>
      </c>
      <c r="I117" s="36">
        <f>#N/A</f>
        <v>-54436.96000000002</v>
      </c>
      <c r="J117" s="36">
        <f>#N/A</f>
        <v>86.67877161822808</v>
      </c>
      <c r="Q117" s="89"/>
      <c r="S117" s="4"/>
      <c r="T117" s="4"/>
      <c r="U117" s="4"/>
      <c r="V117" s="4"/>
      <c r="W117" s="4"/>
    </row>
    <row r="118" spans="2:23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>
        <f>#N/A</f>
        <v>-16.159999999999997</v>
      </c>
      <c r="H118" s="244">
        <f>#N/A</f>
        <v>71.64912280701755</v>
      </c>
      <c r="I118" s="36">
        <f>#N/A</f>
        <v>-186.85999999999999</v>
      </c>
      <c r="J118" s="36">
        <f>#N/A</f>
        <v>17.9358805445762</v>
      </c>
      <c r="Q118" s="89"/>
      <c r="S118" s="4"/>
      <c r="T118" s="4"/>
      <c r="U118" s="4"/>
      <c r="V118" s="4"/>
      <c r="W118" s="4"/>
    </row>
    <row r="119" spans="2:23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>
        <f>#N/A</f>
        <v>0</v>
      </c>
      <c r="H119" s="244">
        <f>#N/A</f>
        <v>100</v>
      </c>
      <c r="I119" s="36">
        <f>#N/A</f>
        <v>-187142.9</v>
      </c>
      <c r="J119" s="36">
        <f>#N/A</f>
        <v>23.092327639525013</v>
      </c>
      <c r="Q119" s="89"/>
      <c r="S119" s="4"/>
      <c r="T119" s="4"/>
      <c r="U119" s="4"/>
      <c r="V119" s="4"/>
      <c r="W119" s="4"/>
    </row>
    <row r="120" spans="2:23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>
        <f>#N/A</f>
        <v>0</v>
      </c>
      <c r="H120" s="244">
        <f>#N/A</f>
        <v>100</v>
      </c>
      <c r="I120" s="36">
        <f>#N/A</f>
        <v>-178707.6</v>
      </c>
      <c r="J120" s="36">
        <f>#N/A</f>
        <v>24.991406068008537</v>
      </c>
      <c r="Q120" s="89"/>
      <c r="S120" s="4"/>
      <c r="T120" s="4"/>
      <c r="U120" s="4"/>
      <c r="V120" s="4"/>
      <c r="W120" s="4"/>
    </row>
    <row r="121" spans="2:23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>
        <f>#N/A</f>
        <v>-460.1399999999999</v>
      </c>
      <c r="H121" s="244">
        <f>#N/A</f>
        <v>89.02806292160552</v>
      </c>
      <c r="I121" s="36">
        <f>#N/A</f>
        <v>-12505.44</v>
      </c>
      <c r="J121" s="36">
        <f>#N/A</f>
        <v>22.99174399550714</v>
      </c>
      <c r="Q121" s="89"/>
      <c r="S121" s="4"/>
      <c r="T121" s="4"/>
      <c r="U121" s="4"/>
      <c r="V121" s="4"/>
      <c r="W121" s="4"/>
    </row>
    <row r="122" spans="2:23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>
        <f>#N/A</f>
        <v>165.7</v>
      </c>
      <c r="H122" s="244">
        <f>#N/A</f>
        <v>0</v>
      </c>
      <c r="I122" s="36">
        <f>#N/A</f>
        <v>165.7</v>
      </c>
      <c r="J122" s="36" t="e">
        <f>#N/A</f>
        <v>#DIV/0!</v>
      </c>
      <c r="Q122" s="89"/>
      <c r="S122" s="4"/>
      <c r="T122" s="4"/>
      <c r="U122" s="4"/>
      <c r="V122" s="4"/>
      <c r="W122" s="4"/>
    </row>
    <row r="123" spans="2:23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>
        <f>#N/A</f>
        <v>-74.22000000000003</v>
      </c>
      <c r="H123" s="244">
        <f>#N/A</f>
        <v>91.84305967688756</v>
      </c>
      <c r="I123" s="36">
        <f>#N/A</f>
        <v>-3520.6200000000003</v>
      </c>
      <c r="J123" s="36">
        <f>#N/A</f>
        <v>19.183251842159628</v>
      </c>
      <c r="Q123" s="89"/>
      <c r="S123" s="4"/>
      <c r="T123" s="4"/>
      <c r="U123" s="4"/>
      <c r="V123" s="4"/>
      <c r="W123" s="4"/>
    </row>
    <row r="124" spans="2:17" s="242" customFormat="1" ht="25.5" customHeight="1" hidden="1">
      <c r="B124" s="275" t="s">
        <v>158</v>
      </c>
      <c r="C124" s="276"/>
      <c r="D124" s="277">
        <f>D112+D113</f>
        <v>2898424.04</v>
      </c>
      <c r="E124" s="277">
        <f>E112+E113</f>
        <v>887467.26</v>
      </c>
      <c r="F124" s="277">
        <f>F112+F113</f>
        <v>877166.4099999999</v>
      </c>
      <c r="G124" s="278">
        <f>#N/A</f>
        <v>-10300.850000000093</v>
      </c>
      <c r="H124" s="277">
        <f>#N/A</f>
        <v>98.83929802661113</v>
      </c>
      <c r="I124" s="279">
        <f>#N/A</f>
        <v>-2021257.6300000001</v>
      </c>
      <c r="J124" s="279">
        <f>#N/A</f>
        <v>30.263563850374354</v>
      </c>
      <c r="Q124" s="243"/>
    </row>
    <row r="125" ht="15" hidden="1"/>
    <row r="126" ht="15" hidden="1"/>
    <row r="127" ht="15" hidden="1"/>
    <row r="128" ht="15" hidden="1"/>
    <row r="129" ht="15" hidden="1"/>
    <row r="130" ht="15" hidden="1"/>
    <row r="131" ht="15" hidden="1"/>
  </sheetData>
  <sheetProtection/>
  <mergeCells count="37"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G92:J92"/>
    <mergeCell ref="O93:P93"/>
    <mergeCell ref="G94:H94"/>
    <mergeCell ref="J94:N94"/>
    <mergeCell ref="O94:P94"/>
    <mergeCell ref="G95:H95"/>
    <mergeCell ref="J95:N95"/>
    <mergeCell ref="O95:P95"/>
    <mergeCell ref="B99:C99"/>
    <mergeCell ref="G99:H99"/>
    <mergeCell ref="O101:P101"/>
    <mergeCell ref="G96:H96"/>
    <mergeCell ref="J96:N96"/>
    <mergeCell ref="B97:C97"/>
    <mergeCell ref="G97:H97"/>
    <mergeCell ref="J97:N97"/>
    <mergeCell ref="G98:H98"/>
  </mergeCells>
  <printOptions/>
  <pageMargins left="0.11811023622047245" right="0.11811023622047245" top="0.1968503937007874" bottom="0.15748031496062992" header="0" footer="0"/>
  <pageSetup fitToHeight="2" fitToWidth="1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2017-11-29T09:30:54Z</cp:lastPrinted>
  <dcterms:created xsi:type="dcterms:W3CDTF">2003-07-28T11:27:56Z</dcterms:created>
  <dcterms:modified xsi:type="dcterms:W3CDTF">2017-11-29T09:40:51Z</dcterms:modified>
  <cp:category/>
  <cp:version/>
  <cp:contentType/>
  <cp:contentStatus/>
</cp:coreProperties>
</file>